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ercila\Downloads\"/>
    </mc:Choice>
  </mc:AlternateContent>
  <bookViews>
    <workbookView xWindow="0" yWindow="0" windowWidth="19200" windowHeight="5400" activeTab="1"/>
  </bookViews>
  <sheets>
    <sheet name="Explanatory Note" sheetId="20" r:id="rId1"/>
    <sheet name="2022-23" sheetId="19" r:id="rId2"/>
    <sheet name="2021-22" sheetId="2" r:id="rId3"/>
    <sheet name="2020-21" sheetId="3" r:id="rId4"/>
    <sheet name="2019-20" sheetId="4" r:id="rId5"/>
    <sheet name="2018-19" sheetId="5" r:id="rId6"/>
    <sheet name="2017-18" sheetId="6" r:id="rId7"/>
    <sheet name="2016-17" sheetId="7" r:id="rId8"/>
    <sheet name="2015-16" sheetId="8" r:id="rId9"/>
    <sheet name="2014-15" sheetId="9" r:id="rId10"/>
    <sheet name="2013-14" sheetId="10" r:id="rId11"/>
    <sheet name="2012-13" sheetId="11" r:id="rId12"/>
    <sheet name="2011-12" sheetId="12" r:id="rId13"/>
    <sheet name="methodology" sheetId="13" r:id="rId14"/>
    <sheet name="Updates" sheetId="18" r:id="rId15"/>
    <sheet name="data from oilseed masterfile" sheetId="14" r:id="rId16"/>
    <sheet name="data from cereal masterfile" sheetId="15" r:id="rId17"/>
    <sheet name="data from protein balance sheet" sheetId="16" r:id="rId1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0" i="16" l="1"/>
  <c r="V10" i="16"/>
  <c r="AA10" i="16"/>
  <c r="P14" i="16"/>
  <c r="AC14" i="16"/>
  <c r="AC13" i="16"/>
  <c r="AC12" i="16"/>
  <c r="AC11" i="16"/>
  <c r="AB13" i="16"/>
  <c r="AB14" i="16"/>
  <c r="AB12" i="16"/>
  <c r="AB11" i="16"/>
  <c r="W14" i="16"/>
  <c r="X14" i="16"/>
  <c r="X13" i="16"/>
  <c r="X12" i="16"/>
  <c r="X11" i="16"/>
  <c r="W13" i="16"/>
  <c r="W12" i="16"/>
  <c r="W11" i="16"/>
  <c r="Y11" i="16" s="1"/>
  <c r="S14" i="16"/>
  <c r="S13" i="16"/>
  <c r="S12" i="16"/>
  <c r="S11" i="16"/>
  <c r="R14" i="16"/>
  <c r="R13" i="16"/>
  <c r="R12" i="16"/>
  <c r="R11" i="16"/>
  <c r="AD11" i="16" l="1"/>
  <c r="AD4" i="16" s="1"/>
  <c r="Y13" i="16"/>
  <c r="Y6" i="16" s="1"/>
  <c r="T12" i="16"/>
  <c r="T11" i="16"/>
  <c r="AD12" i="16"/>
  <c r="Y14" i="16"/>
  <c r="T4" i="16"/>
  <c r="Y4" i="16"/>
  <c r="T5" i="16"/>
  <c r="T13" i="16"/>
  <c r="AD14" i="16"/>
  <c r="T14" i="16"/>
  <c r="Y12" i="16"/>
  <c r="AD5" i="16"/>
  <c r="AD13" i="16"/>
  <c r="B32" i="10"/>
  <c r="B32" i="11"/>
  <c r="B32" i="12"/>
  <c r="B31" i="10"/>
  <c r="B31" i="11"/>
  <c r="B31" i="12"/>
  <c r="B30" i="11"/>
  <c r="B30" i="10"/>
  <c r="B30" i="12"/>
  <c r="AD7" i="16" l="1"/>
  <c r="AD6" i="16"/>
  <c r="Y5" i="16"/>
  <c r="T7" i="16"/>
  <c r="T6" i="16"/>
  <c r="Y7" i="16"/>
  <c r="B29" i="12"/>
  <c r="B3" i="16"/>
  <c r="B29" i="10"/>
  <c r="D3" i="16"/>
  <c r="B29" i="11"/>
  <c r="C3" i="16"/>
  <c r="B20" i="16" l="1"/>
  <c r="B28" i="16"/>
  <c r="C20" i="16"/>
  <c r="C28" i="16"/>
  <c r="D28" i="16"/>
  <c r="B21" i="16"/>
  <c r="C30" i="12" s="1"/>
  <c r="B29" i="16"/>
  <c r="D30" i="12" s="1"/>
  <c r="C21" i="16"/>
  <c r="C30" i="11" s="1"/>
  <c r="C29" i="16"/>
  <c r="D30" i="11" s="1"/>
  <c r="D29" i="16"/>
  <c r="D30" i="10" s="1"/>
  <c r="B23" i="16"/>
  <c r="C31" i="12" s="1"/>
  <c r="B31" i="16"/>
  <c r="D31" i="12" s="1"/>
  <c r="C31" i="16"/>
  <c r="D31" i="11" s="1"/>
  <c r="D31" i="16"/>
  <c r="D31" i="10" s="1"/>
  <c r="B25" i="16"/>
  <c r="C32" i="12" s="1"/>
  <c r="B33" i="16"/>
  <c r="D32" i="12" s="1"/>
  <c r="C25" i="16"/>
  <c r="C32" i="11" s="1"/>
  <c r="C33" i="16"/>
  <c r="D32" i="11" s="1"/>
  <c r="D33" i="16"/>
  <c r="D32" i="10" s="1"/>
  <c r="Q4" i="16"/>
  <c r="V4" i="16"/>
  <c r="AA4" i="16"/>
  <c r="Q5" i="16"/>
  <c r="V5" i="16"/>
  <c r="AA5" i="16"/>
  <c r="Q6" i="16"/>
  <c r="V6" i="16"/>
  <c r="C23" i="16"/>
  <c r="C31" i="11" s="1"/>
  <c r="AA6" i="16"/>
  <c r="Q7" i="16"/>
  <c r="V7" i="16"/>
  <c r="AA7" i="16"/>
  <c r="U11" i="16"/>
  <c r="U4" i="16" s="1"/>
  <c r="Z11" i="16"/>
  <c r="Z4" i="16" s="1"/>
  <c r="AE11" i="16"/>
  <c r="AE4" i="16" s="1"/>
  <c r="U12" i="16"/>
  <c r="U5" i="16" s="1"/>
  <c r="Z12" i="16"/>
  <c r="Z5" i="16" s="1"/>
  <c r="AE12" i="16"/>
  <c r="AE5" i="16" s="1"/>
  <c r="U13" i="16"/>
  <c r="U6" i="16" s="1"/>
  <c r="Z13" i="16"/>
  <c r="Z6" i="16" s="1"/>
  <c r="AE13" i="16"/>
  <c r="AE6" i="16" s="1"/>
  <c r="U14" i="16"/>
  <c r="U7" i="16" s="1"/>
  <c r="Z14" i="16"/>
  <c r="Z7" i="16" s="1"/>
  <c r="AE14" i="16"/>
  <c r="AE7" i="16" s="1"/>
  <c r="D29" i="10" l="1"/>
  <c r="D27" i="16"/>
  <c r="C29" i="11"/>
  <c r="C19" i="16"/>
  <c r="D29" i="11"/>
  <c r="C27" i="16"/>
  <c r="D29" i="12"/>
  <c r="B27" i="16"/>
  <c r="C29" i="12"/>
  <c r="B19" i="16"/>
  <c r="D23" i="16"/>
  <c r="C31" i="10" s="1"/>
  <c r="D25" i="16"/>
  <c r="C32" i="10" s="1"/>
  <c r="D20" i="16"/>
  <c r="D21" i="16"/>
  <c r="C30" i="10" s="1"/>
  <c r="B12" i="16"/>
  <c r="B36" i="16"/>
  <c r="B15" i="16"/>
  <c r="E31" i="12" s="1"/>
  <c r="B39" i="16"/>
  <c r="F31" i="12" s="1"/>
  <c r="X24" i="16"/>
  <c r="Y24" i="16" s="1"/>
  <c r="Z24" i="16" s="1"/>
  <c r="X23" i="16"/>
  <c r="Y23" i="16" s="1"/>
  <c r="Z23" i="16" s="1"/>
  <c r="X25" i="16"/>
  <c r="Y25" i="16" s="1"/>
  <c r="Z25" i="16" s="1"/>
  <c r="X22" i="16"/>
  <c r="Y22" i="16" s="1"/>
  <c r="Z22" i="16" s="1"/>
  <c r="C29" i="10" l="1"/>
  <c r="D19" i="16"/>
  <c r="F29" i="12"/>
  <c r="E29" i="12"/>
  <c r="D13" i="16"/>
  <c r="E30" i="10" s="1"/>
  <c r="D37" i="16"/>
  <c r="F30" i="10" s="1"/>
  <c r="C39" i="16"/>
  <c r="F31" i="11" s="1"/>
  <c r="C15" i="16"/>
  <c r="E31" i="11" s="1"/>
  <c r="C36" i="16"/>
  <c r="C12" i="16"/>
  <c r="D17" i="16"/>
  <c r="E32" i="10" s="1"/>
  <c r="D41" i="16"/>
  <c r="F32" i="10" s="1"/>
  <c r="B37" i="16"/>
  <c r="F30" i="12" s="1"/>
  <c r="B13" i="16"/>
  <c r="E30" i="12" s="1"/>
  <c r="D12" i="16"/>
  <c r="D36" i="16"/>
  <c r="B41" i="16"/>
  <c r="F32" i="12" s="1"/>
  <c r="B17" i="16"/>
  <c r="E32" i="12" s="1"/>
  <c r="C41" i="16"/>
  <c r="F32" i="11" s="1"/>
  <c r="C17" i="16"/>
  <c r="E32" i="11" s="1"/>
  <c r="D15" i="16"/>
  <c r="E31" i="10" s="1"/>
  <c r="D39" i="16"/>
  <c r="F31" i="10" s="1"/>
  <c r="C37" i="16"/>
  <c r="F30" i="11" s="1"/>
  <c r="C13" i="16"/>
  <c r="E30" i="11" s="1"/>
  <c r="B11" i="16" l="1"/>
  <c r="E29" i="11"/>
  <c r="C11" i="16"/>
  <c r="B35" i="16"/>
  <c r="F29" i="11"/>
  <c r="C35" i="16"/>
  <c r="F29" i="10"/>
  <c r="D35" i="16"/>
  <c r="E29" i="10"/>
  <c r="D11" i="16"/>
  <c r="A1" i="12" l="1"/>
  <c r="A1" i="11"/>
  <c r="A1" i="10"/>
  <c r="A1" i="9"/>
  <c r="A1" i="8"/>
  <c r="A1" i="7"/>
  <c r="A1" i="6"/>
  <c r="A1" i="5"/>
  <c r="A1" i="4"/>
  <c r="A1" i="3"/>
  <c r="A1" i="2"/>
  <c r="A1" i="19"/>
  <c r="S80" i="19" l="1"/>
  <c r="R80" i="19"/>
  <c r="S78" i="19"/>
  <c r="R78" i="19"/>
  <c r="S77" i="19"/>
  <c r="R77" i="19"/>
  <c r="S43" i="19"/>
  <c r="R43" i="19"/>
  <c r="S23" i="19"/>
  <c r="R23" i="19"/>
  <c r="S8" i="19"/>
  <c r="R8" i="19"/>
  <c r="F32" i="19"/>
  <c r="F32" i="2"/>
  <c r="F32" i="3"/>
  <c r="F32" i="4"/>
  <c r="F32" i="5"/>
  <c r="F32" i="6"/>
  <c r="F32" i="7"/>
  <c r="F32" i="8"/>
  <c r="F32" i="9"/>
  <c r="F31" i="19"/>
  <c r="F31" i="2"/>
  <c r="F31" i="3"/>
  <c r="F31" i="4"/>
  <c r="F31" i="5"/>
  <c r="F31" i="6"/>
  <c r="F31" i="7"/>
  <c r="F31" i="8"/>
  <c r="F31" i="9"/>
  <c r="F30" i="19"/>
  <c r="F30" i="2"/>
  <c r="F30" i="3"/>
  <c r="F30" i="4"/>
  <c r="F30" i="5"/>
  <c r="F30" i="6"/>
  <c r="F30" i="7"/>
  <c r="F30" i="8"/>
  <c r="F30" i="9"/>
  <c r="F29" i="19"/>
  <c r="F29" i="2"/>
  <c r="F29" i="3"/>
  <c r="F29" i="4"/>
  <c r="F29" i="5"/>
  <c r="F29" i="6"/>
  <c r="F29" i="7"/>
  <c r="F29" i="8"/>
  <c r="F29" i="9"/>
  <c r="D32" i="19"/>
  <c r="D32" i="2"/>
  <c r="D32" i="3"/>
  <c r="D32" i="4"/>
  <c r="D32" i="5"/>
  <c r="D32" i="6"/>
  <c r="D32" i="7"/>
  <c r="D32" i="8"/>
  <c r="D32" i="9"/>
  <c r="D31" i="19"/>
  <c r="D31" i="2"/>
  <c r="D31" i="3"/>
  <c r="D31" i="4"/>
  <c r="D31" i="5"/>
  <c r="D31" i="6"/>
  <c r="D31" i="7"/>
  <c r="D31" i="8"/>
  <c r="D31" i="9"/>
  <c r="D30" i="19"/>
  <c r="D30" i="2"/>
  <c r="D30" i="3"/>
  <c r="D30" i="4"/>
  <c r="D30" i="5"/>
  <c r="D30" i="6"/>
  <c r="D30" i="7"/>
  <c r="D30" i="8"/>
  <c r="D30" i="9"/>
  <c r="D29" i="19"/>
  <c r="D29" i="2"/>
  <c r="D29" i="3"/>
  <c r="D29" i="4"/>
  <c r="D29" i="5"/>
  <c r="D29" i="6"/>
  <c r="D29" i="7"/>
  <c r="D29" i="8"/>
  <c r="D29" i="9"/>
  <c r="C32" i="19"/>
  <c r="C32" i="2"/>
  <c r="C32" i="3"/>
  <c r="C32" i="4"/>
  <c r="C32" i="5"/>
  <c r="C32" i="6"/>
  <c r="C32" i="7"/>
  <c r="C32" i="8"/>
  <c r="C32" i="9"/>
  <c r="C31" i="19"/>
  <c r="C31" i="2"/>
  <c r="C31" i="3"/>
  <c r="C31" i="4"/>
  <c r="C31" i="5"/>
  <c r="C31" i="6"/>
  <c r="C31" i="7"/>
  <c r="C31" i="8"/>
  <c r="C31" i="9"/>
  <c r="C30" i="19"/>
  <c r="C30" i="2"/>
  <c r="C30" i="3"/>
  <c r="C30" i="4"/>
  <c r="C30" i="5"/>
  <c r="C30" i="6"/>
  <c r="C30" i="7"/>
  <c r="C30" i="8"/>
  <c r="C30" i="9"/>
  <c r="C29" i="19"/>
  <c r="C29" i="2"/>
  <c r="C29" i="3"/>
  <c r="C29" i="4"/>
  <c r="C29" i="5"/>
  <c r="C29" i="6"/>
  <c r="C29" i="7"/>
  <c r="C29" i="8"/>
  <c r="C29" i="9"/>
  <c r="E32" i="19"/>
  <c r="E32" i="2"/>
  <c r="E32" i="3"/>
  <c r="E32" i="4"/>
  <c r="E32" i="5"/>
  <c r="E32" i="6"/>
  <c r="E32" i="7"/>
  <c r="E32" i="8"/>
  <c r="E32" i="9"/>
  <c r="E31" i="19"/>
  <c r="E31" i="2"/>
  <c r="E31" i="3"/>
  <c r="E31" i="4"/>
  <c r="E31" i="5"/>
  <c r="E31" i="6"/>
  <c r="E31" i="7"/>
  <c r="E31" i="8"/>
  <c r="E31" i="9"/>
  <c r="E30" i="19"/>
  <c r="E30" i="2"/>
  <c r="E30" i="3"/>
  <c r="E30" i="4"/>
  <c r="E30" i="5"/>
  <c r="E30" i="6"/>
  <c r="E30" i="7"/>
  <c r="E30" i="8"/>
  <c r="E30" i="9"/>
  <c r="E29" i="19"/>
  <c r="E29" i="2"/>
  <c r="E29" i="3"/>
  <c r="E29" i="4"/>
  <c r="E29" i="5"/>
  <c r="E29" i="6"/>
  <c r="E29" i="7"/>
  <c r="E29" i="8"/>
  <c r="E29" i="9"/>
  <c r="B32" i="19"/>
  <c r="B32" i="2"/>
  <c r="B32" i="3"/>
  <c r="B32" i="4"/>
  <c r="B32" i="5"/>
  <c r="B32" i="6"/>
  <c r="B32" i="7"/>
  <c r="B32" i="8"/>
  <c r="B32" i="9"/>
  <c r="B31" i="19"/>
  <c r="B31" i="2"/>
  <c r="B31" i="3"/>
  <c r="B31" i="4"/>
  <c r="B31" i="5"/>
  <c r="B31" i="6"/>
  <c r="B31" i="7"/>
  <c r="B31" i="8"/>
  <c r="B31" i="9"/>
  <c r="B30" i="19"/>
  <c r="B30" i="2"/>
  <c r="B30" i="3"/>
  <c r="B30" i="4"/>
  <c r="B30" i="5"/>
  <c r="B30" i="6"/>
  <c r="B30" i="7"/>
  <c r="B30" i="8"/>
  <c r="B30" i="9"/>
  <c r="B29" i="19"/>
  <c r="B29" i="2"/>
  <c r="B29" i="3"/>
  <c r="B29" i="4"/>
  <c r="B29" i="5"/>
  <c r="B29" i="6"/>
  <c r="B29" i="7"/>
  <c r="B29" i="8"/>
  <c r="B29" i="9"/>
  <c r="F19" i="19" l="1"/>
  <c r="F18" i="19"/>
  <c r="F17" i="19"/>
  <c r="F16" i="19"/>
  <c r="F15" i="19"/>
  <c r="F14" i="19"/>
  <c r="F13" i="19"/>
  <c r="F12" i="19"/>
  <c r="F11" i="19"/>
  <c r="D19" i="19"/>
  <c r="C19" i="19"/>
  <c r="B19" i="19"/>
  <c r="D18" i="19"/>
  <c r="C18" i="19"/>
  <c r="B18" i="19"/>
  <c r="D17" i="19"/>
  <c r="C17" i="19"/>
  <c r="B17" i="19"/>
  <c r="D16" i="19"/>
  <c r="C16" i="19"/>
  <c r="B16" i="19"/>
  <c r="D15" i="19"/>
  <c r="C15" i="19"/>
  <c r="B15" i="19"/>
  <c r="D14" i="19"/>
  <c r="C14" i="19"/>
  <c r="B14" i="19"/>
  <c r="D13" i="19"/>
  <c r="C13" i="19"/>
  <c r="B13" i="19"/>
  <c r="D12" i="19"/>
  <c r="C12" i="19"/>
  <c r="B12" i="19"/>
  <c r="D11" i="19"/>
  <c r="C11" i="19"/>
  <c r="B11" i="19"/>
  <c r="M87" i="19" l="1"/>
  <c r="M86" i="19"/>
  <c r="E86" i="19"/>
  <c r="F86" i="19" s="1"/>
  <c r="M85" i="19"/>
  <c r="E85" i="19"/>
  <c r="F85" i="19" s="1"/>
  <c r="M84" i="19"/>
  <c r="E84" i="19"/>
  <c r="F84" i="19" s="1"/>
  <c r="P80" i="19"/>
  <c r="O80" i="19"/>
  <c r="J80" i="19"/>
  <c r="I80" i="19"/>
  <c r="H80" i="19"/>
  <c r="M80" i="19" s="1"/>
  <c r="M79" i="19"/>
  <c r="J79" i="19"/>
  <c r="P78" i="19"/>
  <c r="O78" i="19"/>
  <c r="M78" i="19"/>
  <c r="I78" i="19"/>
  <c r="G78" i="19"/>
  <c r="J78" i="19" s="1"/>
  <c r="P77" i="19"/>
  <c r="O77" i="19"/>
  <c r="M77" i="19"/>
  <c r="J77" i="19"/>
  <c r="I77" i="19"/>
  <c r="G77" i="19"/>
  <c r="M76" i="19"/>
  <c r="M71" i="19"/>
  <c r="M70" i="19"/>
  <c r="M69" i="19"/>
  <c r="B69" i="19"/>
  <c r="M68" i="19"/>
  <c r="E68" i="19"/>
  <c r="F68" i="19" s="1"/>
  <c r="B67" i="19"/>
  <c r="M66" i="19"/>
  <c r="G66" i="19"/>
  <c r="E66" i="19"/>
  <c r="M65" i="19"/>
  <c r="E65" i="19"/>
  <c r="F65" i="19" s="1"/>
  <c r="I65" i="19" s="1"/>
  <c r="M61" i="19"/>
  <c r="M60" i="19"/>
  <c r="J60" i="19"/>
  <c r="M59" i="19"/>
  <c r="M55" i="19"/>
  <c r="J55" i="19"/>
  <c r="M54" i="19"/>
  <c r="J54" i="19"/>
  <c r="M53" i="19"/>
  <c r="M49" i="19"/>
  <c r="J49" i="19"/>
  <c r="M48" i="19"/>
  <c r="J48" i="19"/>
  <c r="M47" i="19"/>
  <c r="P43" i="19"/>
  <c r="O43" i="19"/>
  <c r="M43" i="19"/>
  <c r="J43" i="19"/>
  <c r="I43" i="19"/>
  <c r="B43" i="19"/>
  <c r="E43" i="19" s="1"/>
  <c r="M42" i="19"/>
  <c r="J42" i="19"/>
  <c r="M41" i="19"/>
  <c r="J41" i="19"/>
  <c r="M40" i="19"/>
  <c r="M31" i="19"/>
  <c r="M30" i="19"/>
  <c r="M29" i="19"/>
  <c r="M25" i="19"/>
  <c r="H24" i="19"/>
  <c r="M24" i="19" s="1"/>
  <c r="P23" i="19"/>
  <c r="O23" i="19"/>
  <c r="M23" i="19"/>
  <c r="I23" i="19"/>
  <c r="G23" i="19"/>
  <c r="J23" i="19" s="1"/>
  <c r="M19" i="19"/>
  <c r="I19" i="19"/>
  <c r="E19" i="19"/>
  <c r="G19" i="19" s="1"/>
  <c r="J19" i="19" s="1"/>
  <c r="A19" i="19"/>
  <c r="M18" i="19"/>
  <c r="E18" i="19"/>
  <c r="A18" i="19"/>
  <c r="M17" i="19"/>
  <c r="I17" i="19"/>
  <c r="E17" i="19"/>
  <c r="G17" i="19" s="1"/>
  <c r="J17" i="19" s="1"/>
  <c r="A17" i="19"/>
  <c r="M16" i="19"/>
  <c r="C9" i="19"/>
  <c r="A16" i="19"/>
  <c r="M15" i="19"/>
  <c r="I15" i="19"/>
  <c r="E15" i="19"/>
  <c r="G15" i="19" s="1"/>
  <c r="J15" i="19" s="1"/>
  <c r="A15" i="19"/>
  <c r="M14" i="19"/>
  <c r="G14" i="19"/>
  <c r="J14" i="19" s="1"/>
  <c r="E14" i="19"/>
  <c r="A14" i="19"/>
  <c r="M13" i="19"/>
  <c r="I13" i="19"/>
  <c r="E13" i="19"/>
  <c r="G13" i="19" s="1"/>
  <c r="J13" i="19" s="1"/>
  <c r="A13" i="19"/>
  <c r="M12" i="19"/>
  <c r="A12" i="19"/>
  <c r="M11" i="19"/>
  <c r="I11" i="19"/>
  <c r="D9" i="19"/>
  <c r="A11" i="19"/>
  <c r="P8" i="19"/>
  <c r="O8" i="19"/>
  <c r="R3" i="19"/>
  <c r="B57" i="19" l="1"/>
  <c r="E77" i="19"/>
  <c r="C63" i="19"/>
  <c r="E67" i="19"/>
  <c r="F67" i="19" s="1"/>
  <c r="E70" i="19"/>
  <c r="F70" i="19" s="1"/>
  <c r="I70" i="19" s="1"/>
  <c r="C57" i="19"/>
  <c r="B63" i="19"/>
  <c r="E78" i="19"/>
  <c r="E71" i="19"/>
  <c r="F71" i="19" s="1"/>
  <c r="I71" i="19" s="1"/>
  <c r="I67" i="19"/>
  <c r="I79" i="19"/>
  <c r="D57" i="19"/>
  <c r="E61" i="19"/>
  <c r="D63" i="19"/>
  <c r="E59" i="19"/>
  <c r="F59" i="19" s="1"/>
  <c r="I59" i="19" s="1"/>
  <c r="J67" i="19"/>
  <c r="E72" i="19"/>
  <c r="F72" i="19" s="1"/>
  <c r="G72" i="19" s="1"/>
  <c r="E60" i="19"/>
  <c r="F60" i="19" s="1"/>
  <c r="G65" i="19"/>
  <c r="J65" i="19" s="1"/>
  <c r="E16" i="19"/>
  <c r="G16" i="19" s="1"/>
  <c r="J16" i="19" s="1"/>
  <c r="E12" i="19"/>
  <c r="G12" i="19" s="1"/>
  <c r="J12" i="19" s="1"/>
  <c r="B9" i="19"/>
  <c r="I85" i="19"/>
  <c r="G85" i="19"/>
  <c r="J85" i="19" s="1"/>
  <c r="I14" i="19"/>
  <c r="I84" i="19"/>
  <c r="G84" i="19"/>
  <c r="J84" i="19" s="1"/>
  <c r="I16" i="19"/>
  <c r="I68" i="19"/>
  <c r="G68" i="19"/>
  <c r="J68" i="19" s="1"/>
  <c r="F9" i="19"/>
  <c r="I12" i="19"/>
  <c r="I18" i="19"/>
  <c r="I86" i="19"/>
  <c r="G86" i="19"/>
  <c r="J86" i="19" s="1"/>
  <c r="E11" i="19"/>
  <c r="J66" i="19"/>
  <c r="G18" i="19"/>
  <c r="J18" i="19" s="1"/>
  <c r="I66" i="19"/>
  <c r="E69" i="19"/>
  <c r="F69" i="19" s="1"/>
  <c r="E76" i="19"/>
  <c r="F76" i="19" s="1"/>
  <c r="E87" i="19"/>
  <c r="F87" i="19" s="1"/>
  <c r="G59" i="19" l="1"/>
  <c r="J59" i="19" s="1"/>
  <c r="G67" i="19"/>
  <c r="F63" i="19"/>
  <c r="G71" i="19"/>
  <c r="J71" i="19" s="1"/>
  <c r="G70" i="19"/>
  <c r="J70" i="19" s="1"/>
  <c r="E57" i="19"/>
  <c r="G69" i="19"/>
  <c r="J69" i="19" s="1"/>
  <c r="G76" i="19"/>
  <c r="G74" i="19" s="1"/>
  <c r="F61" i="19"/>
  <c r="G61" i="19" s="1"/>
  <c r="I60" i="19"/>
  <c r="E63" i="19"/>
  <c r="I9" i="19"/>
  <c r="J72" i="19"/>
  <c r="I72" i="19"/>
  <c r="I69" i="19"/>
  <c r="I94" i="19"/>
  <c r="G11" i="19"/>
  <c r="E9" i="19"/>
  <c r="I87" i="19"/>
  <c r="I76" i="19"/>
  <c r="F74" i="19"/>
  <c r="G87" i="19"/>
  <c r="J87" i="19" s="1"/>
  <c r="J82" i="19" s="1"/>
  <c r="F82" i="19"/>
  <c r="AA2" i="14"/>
  <c r="Z2" i="14"/>
  <c r="Y2" i="14"/>
  <c r="X2" i="14"/>
  <c r="W2" i="14"/>
  <c r="V2" i="14"/>
  <c r="U2" i="14"/>
  <c r="T2" i="14"/>
  <c r="S2" i="14"/>
  <c r="R2" i="14"/>
  <c r="Q2" i="14"/>
  <c r="P2" i="14"/>
  <c r="AA33" i="14"/>
  <c r="AA31" i="14"/>
  <c r="AA14" i="14"/>
  <c r="C25" i="19" s="1"/>
  <c r="AA12" i="14"/>
  <c r="C23" i="19" s="1"/>
  <c r="AA13" i="14"/>
  <c r="C24" i="19" s="1"/>
  <c r="I82" i="19" l="1"/>
  <c r="K82" i="19" s="1"/>
  <c r="J76" i="19"/>
  <c r="J74" i="19" s="1"/>
  <c r="I63" i="19"/>
  <c r="I61" i="19"/>
  <c r="J63" i="19"/>
  <c r="G63" i="19"/>
  <c r="J61" i="19"/>
  <c r="J57" i="19" s="1"/>
  <c r="G57" i="19"/>
  <c r="F57" i="19"/>
  <c r="I74" i="19"/>
  <c r="J11" i="19"/>
  <c r="G9" i="19"/>
  <c r="G82" i="19"/>
  <c r="AA21" i="14"/>
  <c r="AA11" i="14"/>
  <c r="AA32" i="14"/>
  <c r="AA30" i="14" s="1"/>
  <c r="J94" i="19" l="1"/>
  <c r="K94" i="19" s="1"/>
  <c r="K63" i="19"/>
  <c r="I57" i="19"/>
  <c r="J9" i="19"/>
  <c r="K74" i="19"/>
  <c r="AA17" i="14"/>
  <c r="D24" i="19" s="1"/>
  <c r="K57" i="19" l="1"/>
  <c r="K9" i="19"/>
  <c r="AA36" i="14" l="1"/>
  <c r="AA35" i="14"/>
  <c r="AA37" i="14" l="1"/>
  <c r="AA34" i="14" s="1"/>
  <c r="AA18" i="14" l="1"/>
  <c r="D25" i="19" s="1"/>
  <c r="AA16" i="14" l="1"/>
  <c r="AA15" i="14" l="1"/>
  <c r="D23" i="19"/>
  <c r="AA5" i="14" l="1"/>
  <c r="B24" i="19" s="1"/>
  <c r="AA4" i="14" l="1"/>
  <c r="B23" i="19" s="1"/>
  <c r="AA9" i="14"/>
  <c r="AA6" i="14"/>
  <c r="B25" i="19" s="1"/>
  <c r="AA3" i="14" l="1"/>
  <c r="AA8" i="14"/>
  <c r="AA10" i="14" l="1"/>
  <c r="AA7" i="14" s="1"/>
  <c r="AA24" i="14"/>
  <c r="AA41" i="14"/>
  <c r="AA40" i="14" l="1"/>
  <c r="AA23" i="14"/>
  <c r="AA25" i="14"/>
  <c r="AA42" i="14"/>
  <c r="AA22" i="14" l="1"/>
  <c r="AA28" i="14"/>
  <c r="AA29" i="14"/>
  <c r="AA27" i="14"/>
  <c r="AA26" i="14" s="1"/>
  <c r="B69" i="12" l="1"/>
  <c r="F19" i="12"/>
  <c r="D19" i="12"/>
  <c r="C19" i="12"/>
  <c r="B19" i="12"/>
  <c r="A19" i="12"/>
  <c r="F18" i="12"/>
  <c r="D18" i="12"/>
  <c r="C18" i="12"/>
  <c r="B18" i="12"/>
  <c r="A18" i="12"/>
  <c r="F17" i="12"/>
  <c r="D17" i="12"/>
  <c r="C17" i="12"/>
  <c r="B17" i="12"/>
  <c r="A17" i="12"/>
  <c r="F16" i="12"/>
  <c r="D16" i="12"/>
  <c r="C16" i="12"/>
  <c r="B16" i="12"/>
  <c r="A16" i="12"/>
  <c r="F15" i="12"/>
  <c r="D15" i="12"/>
  <c r="C15" i="12"/>
  <c r="B15" i="12"/>
  <c r="A15" i="12"/>
  <c r="F14" i="12"/>
  <c r="D14" i="12"/>
  <c r="C14" i="12"/>
  <c r="B14" i="12"/>
  <c r="A14" i="12"/>
  <c r="F13" i="12"/>
  <c r="D13" i="12"/>
  <c r="C13" i="12"/>
  <c r="B13" i="12"/>
  <c r="A13" i="12"/>
  <c r="F12" i="12"/>
  <c r="D12" i="12"/>
  <c r="C12" i="12"/>
  <c r="B12" i="12"/>
  <c r="A12" i="12"/>
  <c r="F11" i="12"/>
  <c r="D11" i="12"/>
  <c r="C11" i="12"/>
  <c r="B11" i="12"/>
  <c r="A11" i="12"/>
  <c r="B69" i="11"/>
  <c r="F19" i="11"/>
  <c r="D19" i="11"/>
  <c r="C19" i="11"/>
  <c r="B19" i="11"/>
  <c r="A19" i="11"/>
  <c r="F18" i="11"/>
  <c r="D18" i="11"/>
  <c r="C18" i="11"/>
  <c r="B18" i="11"/>
  <c r="A18" i="11"/>
  <c r="F17" i="11"/>
  <c r="D17" i="11"/>
  <c r="C17" i="11"/>
  <c r="B17" i="11"/>
  <c r="A17" i="11"/>
  <c r="F16" i="11"/>
  <c r="D16" i="11"/>
  <c r="C16" i="11"/>
  <c r="B16" i="11"/>
  <c r="A16" i="11"/>
  <c r="F15" i="11"/>
  <c r="D15" i="11"/>
  <c r="C15" i="11"/>
  <c r="B15" i="11"/>
  <c r="A15" i="11"/>
  <c r="F14" i="11"/>
  <c r="D14" i="11"/>
  <c r="C14" i="11"/>
  <c r="B14" i="11"/>
  <c r="A14" i="11"/>
  <c r="F13" i="11"/>
  <c r="D13" i="11"/>
  <c r="C13" i="11"/>
  <c r="B13" i="11"/>
  <c r="A13" i="11"/>
  <c r="F12" i="11"/>
  <c r="D12" i="11"/>
  <c r="C12" i="11"/>
  <c r="B12" i="11"/>
  <c r="A12" i="11"/>
  <c r="F11" i="11"/>
  <c r="D11" i="11"/>
  <c r="C11" i="11"/>
  <c r="B11" i="11"/>
  <c r="A11" i="11"/>
  <c r="B69" i="10"/>
  <c r="F19" i="10"/>
  <c r="D19" i="10"/>
  <c r="C19" i="10"/>
  <c r="B19" i="10"/>
  <c r="A19" i="10"/>
  <c r="F18" i="10"/>
  <c r="D18" i="10"/>
  <c r="C18" i="10"/>
  <c r="B18" i="10"/>
  <c r="A18" i="10"/>
  <c r="F17" i="10"/>
  <c r="D17" i="10"/>
  <c r="C17" i="10"/>
  <c r="B17" i="10"/>
  <c r="A17" i="10"/>
  <c r="F16" i="10"/>
  <c r="D16" i="10"/>
  <c r="C16" i="10"/>
  <c r="B16" i="10"/>
  <c r="A16" i="10"/>
  <c r="F15" i="10"/>
  <c r="D15" i="10"/>
  <c r="C15" i="10"/>
  <c r="B15" i="10"/>
  <c r="A15" i="10"/>
  <c r="F14" i="10"/>
  <c r="D14" i="10"/>
  <c r="C14" i="10"/>
  <c r="B14" i="10"/>
  <c r="A14" i="10"/>
  <c r="F13" i="10"/>
  <c r="D13" i="10"/>
  <c r="C13" i="10"/>
  <c r="B13" i="10"/>
  <c r="A13" i="10"/>
  <c r="F12" i="10"/>
  <c r="D12" i="10"/>
  <c r="C12" i="10"/>
  <c r="B12" i="10"/>
  <c r="A12" i="10"/>
  <c r="F11" i="10"/>
  <c r="D11" i="10"/>
  <c r="C11" i="10"/>
  <c r="B11" i="10"/>
  <c r="A11" i="10"/>
  <c r="B69" i="9"/>
  <c r="F19" i="9"/>
  <c r="D19" i="9"/>
  <c r="C19" i="9"/>
  <c r="B19" i="9"/>
  <c r="A19" i="9"/>
  <c r="F18" i="9"/>
  <c r="D18" i="9"/>
  <c r="C18" i="9"/>
  <c r="B18" i="9"/>
  <c r="A18" i="9"/>
  <c r="F17" i="9"/>
  <c r="D17" i="9"/>
  <c r="C17" i="9"/>
  <c r="B17" i="9"/>
  <c r="A17" i="9"/>
  <c r="F16" i="9"/>
  <c r="D16" i="9"/>
  <c r="C16" i="9"/>
  <c r="B16" i="9"/>
  <c r="A16" i="9"/>
  <c r="F15" i="9"/>
  <c r="D15" i="9"/>
  <c r="C15" i="9"/>
  <c r="B15" i="9"/>
  <c r="A15" i="9"/>
  <c r="F14" i="9"/>
  <c r="D14" i="9"/>
  <c r="C14" i="9"/>
  <c r="B14" i="9"/>
  <c r="A14" i="9"/>
  <c r="F13" i="9"/>
  <c r="D13" i="9"/>
  <c r="C13" i="9"/>
  <c r="B13" i="9"/>
  <c r="A13" i="9"/>
  <c r="F12" i="9"/>
  <c r="D12" i="9"/>
  <c r="C12" i="9"/>
  <c r="B12" i="9"/>
  <c r="A12" i="9"/>
  <c r="F11" i="9"/>
  <c r="D11" i="9"/>
  <c r="C11" i="9"/>
  <c r="B11" i="9"/>
  <c r="A11" i="9"/>
  <c r="B69" i="8"/>
  <c r="B67" i="8"/>
  <c r="F19" i="8"/>
  <c r="D19" i="8"/>
  <c r="C19" i="8"/>
  <c r="B19" i="8"/>
  <c r="A19" i="8"/>
  <c r="F18" i="8"/>
  <c r="D18" i="8"/>
  <c r="C18" i="8"/>
  <c r="B18" i="8"/>
  <c r="A18" i="8"/>
  <c r="F17" i="8"/>
  <c r="D17" i="8"/>
  <c r="C17" i="8"/>
  <c r="B17" i="8"/>
  <c r="A17" i="8"/>
  <c r="F16" i="8"/>
  <c r="D16" i="8"/>
  <c r="C16" i="8"/>
  <c r="B16" i="8"/>
  <c r="A16" i="8"/>
  <c r="F15" i="8"/>
  <c r="D15" i="8"/>
  <c r="C15" i="8"/>
  <c r="B15" i="8"/>
  <c r="A15" i="8"/>
  <c r="F14" i="8"/>
  <c r="D14" i="8"/>
  <c r="C14" i="8"/>
  <c r="B14" i="8"/>
  <c r="A14" i="8"/>
  <c r="F13" i="8"/>
  <c r="D13" i="8"/>
  <c r="C13" i="8"/>
  <c r="B13" i="8"/>
  <c r="A13" i="8"/>
  <c r="F12" i="8"/>
  <c r="D12" i="8"/>
  <c r="C12" i="8"/>
  <c r="B12" i="8"/>
  <c r="A12" i="8"/>
  <c r="F11" i="8"/>
  <c r="D11" i="8"/>
  <c r="C11" i="8"/>
  <c r="B11" i="8"/>
  <c r="A11" i="8"/>
  <c r="B69" i="7"/>
  <c r="B67" i="7"/>
  <c r="F19" i="7"/>
  <c r="D19" i="7"/>
  <c r="C19" i="7"/>
  <c r="B19" i="7"/>
  <c r="A19" i="7"/>
  <c r="F18" i="7"/>
  <c r="D18" i="7"/>
  <c r="C18" i="7"/>
  <c r="B18" i="7"/>
  <c r="A18" i="7"/>
  <c r="F17" i="7"/>
  <c r="D17" i="7"/>
  <c r="C17" i="7"/>
  <c r="B17" i="7"/>
  <c r="A17" i="7"/>
  <c r="F16" i="7"/>
  <c r="D16" i="7"/>
  <c r="C16" i="7"/>
  <c r="B16" i="7"/>
  <c r="A16" i="7"/>
  <c r="F15" i="7"/>
  <c r="D15" i="7"/>
  <c r="C15" i="7"/>
  <c r="B15" i="7"/>
  <c r="A15" i="7"/>
  <c r="F14" i="7"/>
  <c r="D14" i="7"/>
  <c r="C14" i="7"/>
  <c r="B14" i="7"/>
  <c r="A14" i="7"/>
  <c r="F13" i="7"/>
  <c r="D13" i="7"/>
  <c r="C13" i="7"/>
  <c r="B13" i="7"/>
  <c r="A13" i="7"/>
  <c r="F12" i="7"/>
  <c r="D12" i="7"/>
  <c r="C12" i="7"/>
  <c r="B12" i="7"/>
  <c r="A12" i="7"/>
  <c r="F11" i="7"/>
  <c r="D11" i="7"/>
  <c r="C11" i="7"/>
  <c r="B11" i="7"/>
  <c r="A11" i="7"/>
  <c r="B69" i="6"/>
  <c r="B67" i="6"/>
  <c r="F19" i="6"/>
  <c r="D19" i="6"/>
  <c r="C19" i="6"/>
  <c r="B19" i="6"/>
  <c r="A19" i="6"/>
  <c r="F18" i="6"/>
  <c r="D18" i="6"/>
  <c r="C18" i="6"/>
  <c r="B18" i="6"/>
  <c r="A18" i="6"/>
  <c r="F17" i="6"/>
  <c r="D17" i="6"/>
  <c r="C17" i="6"/>
  <c r="B17" i="6"/>
  <c r="A17" i="6"/>
  <c r="F16" i="6"/>
  <c r="D16" i="6"/>
  <c r="C16" i="6"/>
  <c r="B16" i="6"/>
  <c r="A16" i="6"/>
  <c r="F15" i="6"/>
  <c r="D15" i="6"/>
  <c r="C15" i="6"/>
  <c r="B15" i="6"/>
  <c r="A15" i="6"/>
  <c r="F14" i="6"/>
  <c r="D14" i="6"/>
  <c r="C14" i="6"/>
  <c r="B14" i="6"/>
  <c r="A14" i="6"/>
  <c r="F13" i="6"/>
  <c r="D13" i="6"/>
  <c r="C13" i="6"/>
  <c r="B13" i="6"/>
  <c r="A13" i="6"/>
  <c r="F12" i="6"/>
  <c r="D12" i="6"/>
  <c r="C12" i="6"/>
  <c r="B12" i="6"/>
  <c r="A12" i="6"/>
  <c r="F11" i="6"/>
  <c r="D11" i="6"/>
  <c r="C11" i="6"/>
  <c r="B11" i="6"/>
  <c r="A11" i="6"/>
  <c r="B69" i="5"/>
  <c r="B67" i="5"/>
  <c r="F19" i="5"/>
  <c r="D19" i="5"/>
  <c r="C19" i="5"/>
  <c r="B19" i="5"/>
  <c r="A19" i="5"/>
  <c r="F18" i="5"/>
  <c r="D18" i="5"/>
  <c r="C18" i="5"/>
  <c r="B18" i="5"/>
  <c r="A18" i="5"/>
  <c r="F17" i="5"/>
  <c r="D17" i="5"/>
  <c r="C17" i="5"/>
  <c r="B17" i="5"/>
  <c r="A17" i="5"/>
  <c r="F16" i="5"/>
  <c r="D16" i="5"/>
  <c r="C16" i="5"/>
  <c r="B16" i="5"/>
  <c r="A16" i="5"/>
  <c r="F15" i="5"/>
  <c r="D15" i="5"/>
  <c r="C15" i="5"/>
  <c r="B15" i="5"/>
  <c r="A15" i="5"/>
  <c r="F14" i="5"/>
  <c r="D14" i="5"/>
  <c r="C14" i="5"/>
  <c r="B14" i="5"/>
  <c r="A14" i="5"/>
  <c r="F13" i="5"/>
  <c r="D13" i="5"/>
  <c r="C13" i="5"/>
  <c r="B13" i="5"/>
  <c r="A13" i="5"/>
  <c r="F12" i="5"/>
  <c r="D12" i="5"/>
  <c r="C12" i="5"/>
  <c r="B12" i="5"/>
  <c r="A12" i="5"/>
  <c r="F11" i="5"/>
  <c r="D11" i="5"/>
  <c r="C11" i="5"/>
  <c r="B11" i="5"/>
  <c r="A11" i="5"/>
  <c r="B69" i="4"/>
  <c r="F19" i="4"/>
  <c r="D19" i="4"/>
  <c r="C19" i="4"/>
  <c r="B19" i="4"/>
  <c r="A19" i="4"/>
  <c r="F18" i="4"/>
  <c r="D18" i="4"/>
  <c r="C18" i="4"/>
  <c r="B18" i="4"/>
  <c r="A18" i="4"/>
  <c r="F17" i="4"/>
  <c r="D17" i="4"/>
  <c r="C17" i="4"/>
  <c r="B17" i="4"/>
  <c r="A17" i="4"/>
  <c r="F16" i="4"/>
  <c r="D16" i="4"/>
  <c r="C16" i="4"/>
  <c r="B16" i="4"/>
  <c r="A16" i="4"/>
  <c r="F15" i="4"/>
  <c r="D15" i="4"/>
  <c r="C15" i="4"/>
  <c r="B15" i="4"/>
  <c r="A15" i="4"/>
  <c r="F14" i="4"/>
  <c r="D14" i="4"/>
  <c r="C14" i="4"/>
  <c r="B14" i="4"/>
  <c r="A14" i="4"/>
  <c r="F13" i="4"/>
  <c r="D13" i="4"/>
  <c r="C13" i="4"/>
  <c r="B13" i="4"/>
  <c r="A13" i="4"/>
  <c r="F12" i="4"/>
  <c r="D12" i="4"/>
  <c r="C12" i="4"/>
  <c r="B12" i="4"/>
  <c r="A12" i="4"/>
  <c r="F11" i="4"/>
  <c r="D11" i="4"/>
  <c r="C11" i="4"/>
  <c r="B11" i="4"/>
  <c r="A11" i="4"/>
  <c r="P80" i="3"/>
  <c r="O80" i="3"/>
  <c r="P78" i="3"/>
  <c r="O78" i="3"/>
  <c r="P77" i="3"/>
  <c r="O77" i="3"/>
  <c r="B69" i="3"/>
  <c r="P43" i="3"/>
  <c r="O43" i="3"/>
  <c r="P23" i="3"/>
  <c r="O23" i="3"/>
  <c r="F19" i="3"/>
  <c r="D19" i="3"/>
  <c r="C19" i="3"/>
  <c r="B19" i="3"/>
  <c r="A19" i="3"/>
  <c r="F18" i="3"/>
  <c r="P18" i="3" s="1"/>
  <c r="D18" i="3"/>
  <c r="C18" i="3"/>
  <c r="B18" i="3"/>
  <c r="A18" i="3"/>
  <c r="F17" i="3"/>
  <c r="P17" i="3" s="1"/>
  <c r="D17" i="3"/>
  <c r="C17" i="3"/>
  <c r="B17" i="3"/>
  <c r="A17" i="3"/>
  <c r="F16" i="3"/>
  <c r="P16" i="3" s="1"/>
  <c r="D16" i="3"/>
  <c r="C16" i="3"/>
  <c r="B16" i="3"/>
  <c r="A16" i="3"/>
  <c r="F15" i="3"/>
  <c r="D15" i="3"/>
  <c r="C15" i="3"/>
  <c r="B15" i="3"/>
  <c r="A15" i="3"/>
  <c r="F14" i="3"/>
  <c r="D14" i="3"/>
  <c r="C14" i="3"/>
  <c r="B14" i="3"/>
  <c r="A14" i="3"/>
  <c r="F13" i="3"/>
  <c r="P13" i="3" s="1"/>
  <c r="D13" i="3"/>
  <c r="C13" i="3"/>
  <c r="B13" i="3"/>
  <c r="A13" i="3"/>
  <c r="F12" i="3"/>
  <c r="P12" i="3" s="1"/>
  <c r="D12" i="3"/>
  <c r="C12" i="3"/>
  <c r="B12" i="3"/>
  <c r="A12" i="3"/>
  <c r="F11" i="3"/>
  <c r="D11" i="3"/>
  <c r="C11" i="3"/>
  <c r="B11" i="3"/>
  <c r="A11" i="3"/>
  <c r="S8" i="3"/>
  <c r="R8" i="3"/>
  <c r="P8" i="3"/>
  <c r="O8" i="3"/>
  <c r="P80" i="2"/>
  <c r="O80" i="2"/>
  <c r="P78" i="2"/>
  <c r="O78" i="2"/>
  <c r="P77" i="2"/>
  <c r="O77" i="2"/>
  <c r="B69" i="2"/>
  <c r="P43" i="2"/>
  <c r="O43" i="2"/>
  <c r="P23" i="2"/>
  <c r="O23" i="2"/>
  <c r="F19" i="2"/>
  <c r="D19" i="2"/>
  <c r="C19" i="2"/>
  <c r="B19" i="2"/>
  <c r="A19" i="2"/>
  <c r="F18" i="2"/>
  <c r="O18" i="2" s="1"/>
  <c r="D18" i="2"/>
  <c r="C18" i="2"/>
  <c r="B18" i="2"/>
  <c r="A18" i="2"/>
  <c r="F17" i="2"/>
  <c r="D17" i="2"/>
  <c r="C17" i="2"/>
  <c r="B17" i="2"/>
  <c r="A17" i="2"/>
  <c r="F16" i="2"/>
  <c r="D16" i="2"/>
  <c r="C16" i="2"/>
  <c r="B16" i="2"/>
  <c r="A16" i="2"/>
  <c r="F15" i="2"/>
  <c r="D15" i="2"/>
  <c r="C15" i="2"/>
  <c r="B15" i="2"/>
  <c r="A15" i="2"/>
  <c r="F14" i="2"/>
  <c r="D14" i="2"/>
  <c r="C14" i="2"/>
  <c r="B14" i="2"/>
  <c r="A14" i="2"/>
  <c r="F13" i="2"/>
  <c r="P13" i="2" s="1"/>
  <c r="D13" i="2"/>
  <c r="C13" i="2"/>
  <c r="B13" i="2"/>
  <c r="A13" i="2"/>
  <c r="F12" i="2"/>
  <c r="D12" i="2"/>
  <c r="C12" i="2"/>
  <c r="B12" i="2"/>
  <c r="A12" i="2"/>
  <c r="F11" i="2"/>
  <c r="D11" i="2"/>
  <c r="C11" i="2"/>
  <c r="B11" i="2"/>
  <c r="A11" i="2"/>
  <c r="S8" i="2"/>
  <c r="R8" i="2"/>
  <c r="P8" i="2"/>
  <c r="O8" i="2"/>
  <c r="P12" i="2" l="1"/>
  <c r="P11" i="2"/>
  <c r="P14" i="2"/>
  <c r="O14" i="19"/>
  <c r="P14" i="19"/>
  <c r="P11" i="19"/>
  <c r="O11" i="19"/>
  <c r="P19" i="19"/>
  <c r="O19" i="19"/>
  <c r="P16" i="19"/>
  <c r="O16" i="19"/>
  <c r="O13" i="19"/>
  <c r="P13" i="19"/>
  <c r="P18" i="19"/>
  <c r="O18" i="19"/>
  <c r="P15" i="19"/>
  <c r="O15" i="19"/>
  <c r="O17" i="2"/>
  <c r="P17" i="19"/>
  <c r="O17" i="19"/>
  <c r="O12" i="19"/>
  <c r="P12" i="19"/>
  <c r="P17" i="2"/>
  <c r="P18" i="2"/>
  <c r="O14" i="2"/>
  <c r="O16" i="3"/>
  <c r="P19" i="2"/>
  <c r="O17" i="3"/>
  <c r="P19" i="3"/>
  <c r="O11" i="2"/>
  <c r="P11" i="3"/>
  <c r="P15" i="3"/>
  <c r="O19" i="3"/>
  <c r="P14" i="3"/>
  <c r="O11" i="3"/>
  <c r="O14" i="3"/>
  <c r="O19" i="2"/>
  <c r="P15" i="2"/>
  <c r="O15" i="2"/>
  <c r="P16" i="2"/>
  <c r="O18" i="3"/>
  <c r="O12" i="3"/>
  <c r="O13" i="3"/>
  <c r="O15" i="3"/>
  <c r="O12" i="2"/>
  <c r="O13" i="2"/>
  <c r="O16" i="2"/>
  <c r="P6" i="16"/>
  <c r="P13" i="16" s="1"/>
  <c r="P5" i="16"/>
  <c r="P12" i="16" s="1"/>
  <c r="P4" i="16"/>
  <c r="P11" i="16" s="1"/>
  <c r="U42" i="14"/>
  <c r="T42" i="14"/>
  <c r="S42" i="14"/>
  <c r="R42" i="14"/>
  <c r="Q42" i="14"/>
  <c r="P42" i="14"/>
  <c r="A46" i="14"/>
  <c r="V40" i="14"/>
  <c r="U40" i="14"/>
  <c r="T40" i="14"/>
  <c r="S40" i="14"/>
  <c r="R40" i="14"/>
  <c r="Q40" i="14"/>
  <c r="P40" i="14"/>
  <c r="A45" i="14"/>
  <c r="V41" i="14"/>
  <c r="U41" i="14"/>
  <c r="T41" i="14"/>
  <c r="S41" i="14"/>
  <c r="R41" i="14"/>
  <c r="Q41" i="14"/>
  <c r="P41" i="14"/>
  <c r="A44" i="14"/>
  <c r="V42" i="14"/>
  <c r="O42" i="14"/>
  <c r="O41" i="14"/>
  <c r="Z37" i="14"/>
  <c r="Y37" i="14"/>
  <c r="D53" i="3" s="1"/>
  <c r="X37" i="14"/>
  <c r="D53" i="4" s="1"/>
  <c r="W37" i="14"/>
  <c r="D53" i="5" s="1"/>
  <c r="V37" i="14"/>
  <c r="D53" i="6" s="1"/>
  <c r="U37" i="14"/>
  <c r="D53" i="7" s="1"/>
  <c r="T37" i="14"/>
  <c r="S37" i="14"/>
  <c r="D53" i="9" s="1"/>
  <c r="R37" i="14"/>
  <c r="D53" i="10" s="1"/>
  <c r="Q37" i="14"/>
  <c r="D53" i="11" s="1"/>
  <c r="P37" i="14"/>
  <c r="D53" i="12" s="1"/>
  <c r="O40" i="14"/>
  <c r="Z35" i="14"/>
  <c r="Y35" i="14"/>
  <c r="D41" i="3" s="1"/>
  <c r="X35" i="14"/>
  <c r="D41" i="4" s="1"/>
  <c r="W35" i="14"/>
  <c r="D41" i="5" s="1"/>
  <c r="V35" i="14"/>
  <c r="U35" i="14"/>
  <c r="D41" i="7" s="1"/>
  <c r="T35" i="14"/>
  <c r="D41" i="8" s="1"/>
  <c r="S35" i="14"/>
  <c r="D41" i="9" s="1"/>
  <c r="R35" i="14"/>
  <c r="D41" i="10" s="1"/>
  <c r="Q35" i="14"/>
  <c r="D41" i="11" s="1"/>
  <c r="P35" i="14"/>
  <c r="Z36" i="14"/>
  <c r="Y36" i="14"/>
  <c r="D47" i="3" s="1"/>
  <c r="X36" i="14"/>
  <c r="D47" i="4" s="1"/>
  <c r="W36" i="14"/>
  <c r="D47" i="5" s="1"/>
  <c r="V36" i="14"/>
  <c r="D47" i="6" s="1"/>
  <c r="U36" i="14"/>
  <c r="D47" i="7" s="1"/>
  <c r="T36" i="14"/>
  <c r="D47" i="8" s="1"/>
  <c r="S36" i="14"/>
  <c r="D47" i="9" s="1"/>
  <c r="R36" i="14"/>
  <c r="D47" i="10" s="1"/>
  <c r="Q36" i="14"/>
  <c r="D47" i="11" s="1"/>
  <c r="P36" i="14"/>
  <c r="D47" i="12" s="1"/>
  <c r="Z33" i="14"/>
  <c r="Y33" i="14"/>
  <c r="C55" i="3" s="1"/>
  <c r="X33" i="14"/>
  <c r="C55" i="4" s="1"/>
  <c r="W33" i="14"/>
  <c r="C55" i="5" s="1"/>
  <c r="V33" i="14"/>
  <c r="C55" i="6" s="1"/>
  <c r="U33" i="14"/>
  <c r="C55" i="7" s="1"/>
  <c r="T33" i="14"/>
  <c r="C55" i="8" s="1"/>
  <c r="S33" i="14"/>
  <c r="C55" i="9" s="1"/>
  <c r="R33" i="14"/>
  <c r="C55" i="10" s="1"/>
  <c r="Q33" i="14"/>
  <c r="C55" i="11" s="1"/>
  <c r="P33" i="14"/>
  <c r="C55" i="12" s="1"/>
  <c r="Z31" i="14"/>
  <c r="C42" i="19" s="1"/>
  <c r="Y31" i="14"/>
  <c r="C42" i="3" s="1"/>
  <c r="X31" i="14"/>
  <c r="C42" i="4" s="1"/>
  <c r="W31" i="14"/>
  <c r="C42" i="5" s="1"/>
  <c r="V31" i="14"/>
  <c r="C42" i="6" s="1"/>
  <c r="U31" i="14"/>
  <c r="C42" i="7" s="1"/>
  <c r="T31" i="14"/>
  <c r="C42" i="8" s="1"/>
  <c r="S31" i="14"/>
  <c r="C42" i="9" s="1"/>
  <c r="R31" i="14"/>
  <c r="C42" i="10" s="1"/>
  <c r="Q31" i="14"/>
  <c r="C42" i="11" s="1"/>
  <c r="P31" i="14"/>
  <c r="C42" i="12" s="1"/>
  <c r="Z32" i="14"/>
  <c r="Y32" i="14"/>
  <c r="C49" i="3" s="1"/>
  <c r="X32" i="14"/>
  <c r="C49" i="4" s="1"/>
  <c r="W32" i="14"/>
  <c r="C49" i="5" s="1"/>
  <c r="V32" i="14"/>
  <c r="C49" i="6" s="1"/>
  <c r="U32" i="14"/>
  <c r="C49" i="7" s="1"/>
  <c r="T32" i="14"/>
  <c r="C49" i="8" s="1"/>
  <c r="S32" i="14"/>
  <c r="C49" i="9" s="1"/>
  <c r="R32" i="14"/>
  <c r="C49" i="10" s="1"/>
  <c r="Q32" i="14"/>
  <c r="C49" i="11" s="1"/>
  <c r="P32" i="14"/>
  <c r="C49" i="12" s="1"/>
  <c r="Z29" i="14"/>
  <c r="Y29" i="14"/>
  <c r="X29" i="14"/>
  <c r="W29" i="14"/>
  <c r="V29" i="14"/>
  <c r="U29" i="14"/>
  <c r="T29" i="14"/>
  <c r="S29" i="14"/>
  <c r="R29" i="14"/>
  <c r="Q29" i="14"/>
  <c r="P29" i="14"/>
  <c r="Z27" i="14"/>
  <c r="Y27" i="14"/>
  <c r="X27" i="14"/>
  <c r="W27" i="14"/>
  <c r="V27" i="14"/>
  <c r="U27" i="14"/>
  <c r="T27" i="14"/>
  <c r="S27" i="14"/>
  <c r="R27" i="14"/>
  <c r="Q27" i="14"/>
  <c r="P27" i="14"/>
  <c r="Z28" i="14"/>
  <c r="Y28" i="14"/>
  <c r="X28" i="14"/>
  <c r="W28" i="14"/>
  <c r="V28" i="14"/>
  <c r="U28" i="14"/>
  <c r="T28" i="14"/>
  <c r="S28" i="14"/>
  <c r="R28" i="14"/>
  <c r="Q28" i="14"/>
  <c r="P28" i="14"/>
  <c r="Z25" i="14"/>
  <c r="Y25" i="14"/>
  <c r="X25" i="14"/>
  <c r="W25" i="14"/>
  <c r="V25" i="14"/>
  <c r="U25" i="14"/>
  <c r="T25" i="14"/>
  <c r="S25" i="14"/>
  <c r="R25" i="14"/>
  <c r="Q25" i="14"/>
  <c r="P25" i="14"/>
  <c r="Z23" i="14"/>
  <c r="Y23" i="14"/>
  <c r="X23" i="14"/>
  <c r="W23" i="14"/>
  <c r="V23" i="14"/>
  <c r="U23" i="14"/>
  <c r="T23" i="14"/>
  <c r="S23" i="14"/>
  <c r="R23" i="14"/>
  <c r="Q23" i="14"/>
  <c r="P23" i="14"/>
  <c r="Z24" i="14"/>
  <c r="Y24" i="14"/>
  <c r="X24" i="14"/>
  <c r="W24" i="14"/>
  <c r="V24" i="14"/>
  <c r="U24" i="14"/>
  <c r="T24" i="14"/>
  <c r="S24" i="14"/>
  <c r="R24" i="14"/>
  <c r="Q24" i="14"/>
  <c r="P24" i="14"/>
  <c r="X21" i="14"/>
  <c r="W21" i="14"/>
  <c r="S21" i="14"/>
  <c r="Z18" i="14"/>
  <c r="Y18" i="14"/>
  <c r="D25" i="3" s="1"/>
  <c r="X18" i="14"/>
  <c r="D25" i="4" s="1"/>
  <c r="W18" i="14"/>
  <c r="D25" i="5" s="1"/>
  <c r="V18" i="14"/>
  <c r="D25" i="6" s="1"/>
  <c r="U18" i="14"/>
  <c r="D25" i="7" s="1"/>
  <c r="T18" i="14"/>
  <c r="D25" i="8" s="1"/>
  <c r="S18" i="14"/>
  <c r="D25" i="9" s="1"/>
  <c r="R18" i="14"/>
  <c r="D25" i="10" s="1"/>
  <c r="Q18" i="14"/>
  <c r="D25" i="11" s="1"/>
  <c r="P18" i="14"/>
  <c r="D25" i="12" s="1"/>
  <c r="Z16" i="14"/>
  <c r="Y16" i="14"/>
  <c r="D23" i="3" s="1"/>
  <c r="X16" i="14"/>
  <c r="D23" i="4" s="1"/>
  <c r="W16" i="14"/>
  <c r="D23" i="5" s="1"/>
  <c r="V16" i="14"/>
  <c r="U16" i="14"/>
  <c r="D23" i="7" s="1"/>
  <c r="T16" i="14"/>
  <c r="S16" i="14"/>
  <c r="D23" i="9" s="1"/>
  <c r="R16" i="14"/>
  <c r="Q16" i="14"/>
  <c r="D23" i="11" s="1"/>
  <c r="P16" i="14"/>
  <c r="D23" i="12" s="1"/>
  <c r="Z17" i="14"/>
  <c r="Y17" i="14"/>
  <c r="D24" i="3" s="1"/>
  <c r="X17" i="14"/>
  <c r="D24" i="4" s="1"/>
  <c r="W17" i="14"/>
  <c r="D24" i="5" s="1"/>
  <c r="V17" i="14"/>
  <c r="D24" i="6" s="1"/>
  <c r="U17" i="14"/>
  <c r="D24" i="7" s="1"/>
  <c r="T17" i="14"/>
  <c r="D24" i="8" s="1"/>
  <c r="S17" i="14"/>
  <c r="D24" i="9" s="1"/>
  <c r="R17" i="14"/>
  <c r="D24" i="10" s="1"/>
  <c r="Q17" i="14"/>
  <c r="D24" i="11" s="1"/>
  <c r="P17" i="14"/>
  <c r="D24" i="12" s="1"/>
  <c r="Z14" i="14"/>
  <c r="Y14" i="14"/>
  <c r="C25" i="3" s="1"/>
  <c r="X14" i="14"/>
  <c r="C25" i="4" s="1"/>
  <c r="W14" i="14"/>
  <c r="C25" i="5" s="1"/>
  <c r="V14" i="14"/>
  <c r="C25" i="6" s="1"/>
  <c r="U14" i="14"/>
  <c r="C25" i="7" s="1"/>
  <c r="T14" i="14"/>
  <c r="C25" i="8" s="1"/>
  <c r="S14" i="14"/>
  <c r="C25" i="9" s="1"/>
  <c r="R14" i="14"/>
  <c r="C25" i="10" s="1"/>
  <c r="Q14" i="14"/>
  <c r="C25" i="11" s="1"/>
  <c r="P14" i="14"/>
  <c r="C25" i="12" s="1"/>
  <c r="Z12" i="14"/>
  <c r="Y12" i="14"/>
  <c r="C23" i="3" s="1"/>
  <c r="X12" i="14"/>
  <c r="C23" i="4" s="1"/>
  <c r="W12" i="14"/>
  <c r="C23" i="5" s="1"/>
  <c r="V12" i="14"/>
  <c r="C23" i="6" s="1"/>
  <c r="U12" i="14"/>
  <c r="C23" i="7" s="1"/>
  <c r="T12" i="14"/>
  <c r="C23" i="8" s="1"/>
  <c r="S12" i="14"/>
  <c r="C23" i="9" s="1"/>
  <c r="R12" i="14"/>
  <c r="C23" i="10" s="1"/>
  <c r="Q12" i="14"/>
  <c r="P12" i="14"/>
  <c r="Z13" i="14"/>
  <c r="Y13" i="14"/>
  <c r="C24" i="3" s="1"/>
  <c r="X13" i="14"/>
  <c r="C24" i="4" s="1"/>
  <c r="W13" i="14"/>
  <c r="C24" i="5" s="1"/>
  <c r="V13" i="14"/>
  <c r="C24" i="6" s="1"/>
  <c r="U13" i="14"/>
  <c r="C24" i="7" s="1"/>
  <c r="T13" i="14"/>
  <c r="C24" i="8" s="1"/>
  <c r="S13" i="14"/>
  <c r="C24" i="9" s="1"/>
  <c r="R13" i="14"/>
  <c r="C24" i="10" s="1"/>
  <c r="Q13" i="14"/>
  <c r="C24" i="11" s="1"/>
  <c r="P13" i="14"/>
  <c r="C24" i="12" s="1"/>
  <c r="Z10" i="14"/>
  <c r="Y10" i="14"/>
  <c r="X10" i="14"/>
  <c r="W10" i="14"/>
  <c r="V10" i="14"/>
  <c r="U10" i="14"/>
  <c r="T10" i="14"/>
  <c r="S10" i="14"/>
  <c r="R10" i="14"/>
  <c r="Q10" i="14"/>
  <c r="P10" i="14"/>
  <c r="Z8" i="14"/>
  <c r="Y8" i="14"/>
  <c r="X8" i="14"/>
  <c r="W8" i="14"/>
  <c r="V8" i="14"/>
  <c r="U8" i="14"/>
  <c r="T8" i="14"/>
  <c r="S8" i="14"/>
  <c r="R8" i="14"/>
  <c r="Q8" i="14"/>
  <c r="P8" i="14"/>
  <c r="Z9" i="14"/>
  <c r="Y9" i="14"/>
  <c r="X9" i="14"/>
  <c r="W9" i="14"/>
  <c r="V9" i="14"/>
  <c r="U9" i="14"/>
  <c r="T9" i="14"/>
  <c r="S9" i="14"/>
  <c r="R9" i="14"/>
  <c r="Q9" i="14"/>
  <c r="P9" i="14"/>
  <c r="Z6" i="14"/>
  <c r="Y6" i="14"/>
  <c r="B25" i="3" s="1"/>
  <c r="X6" i="14"/>
  <c r="B25" i="4" s="1"/>
  <c r="W6" i="14"/>
  <c r="B25" i="5" s="1"/>
  <c r="V6" i="14"/>
  <c r="B25" i="6" s="1"/>
  <c r="U6" i="14"/>
  <c r="B25" i="7" s="1"/>
  <c r="T6" i="14"/>
  <c r="B25" i="8" s="1"/>
  <c r="S6" i="14"/>
  <c r="B25" i="9" s="1"/>
  <c r="R6" i="14"/>
  <c r="B25" i="10" s="1"/>
  <c r="Q6" i="14"/>
  <c r="B25" i="11" s="1"/>
  <c r="P6" i="14"/>
  <c r="B25" i="12" s="1"/>
  <c r="Z4" i="14"/>
  <c r="Y4" i="14"/>
  <c r="B23" i="3" s="1"/>
  <c r="X4" i="14"/>
  <c r="B23" i="4" s="1"/>
  <c r="W4" i="14"/>
  <c r="B23" i="5" s="1"/>
  <c r="V4" i="14"/>
  <c r="B23" i="6" s="1"/>
  <c r="U4" i="14"/>
  <c r="B23" i="7" s="1"/>
  <c r="T4" i="14"/>
  <c r="S4" i="14"/>
  <c r="B23" i="9" s="1"/>
  <c r="R4" i="14"/>
  <c r="B23" i="10" s="1"/>
  <c r="Q4" i="14"/>
  <c r="P4" i="14"/>
  <c r="B23" i="12" s="1"/>
  <c r="Z5" i="14"/>
  <c r="Y5" i="14"/>
  <c r="B24" i="3" s="1"/>
  <c r="X5" i="14"/>
  <c r="B24" i="4" s="1"/>
  <c r="W5" i="14"/>
  <c r="B24" i="5" s="1"/>
  <c r="V5" i="14"/>
  <c r="B24" i="6" s="1"/>
  <c r="U5" i="14"/>
  <c r="B24" i="7" s="1"/>
  <c r="T5" i="14"/>
  <c r="B24" i="8" s="1"/>
  <c r="S5" i="14"/>
  <c r="B24" i="9" s="1"/>
  <c r="R5" i="14"/>
  <c r="B24" i="10" s="1"/>
  <c r="Q5" i="14"/>
  <c r="B24" i="11" s="1"/>
  <c r="P5" i="14"/>
  <c r="B24" i="12" s="1"/>
  <c r="M87" i="12"/>
  <c r="M86" i="12"/>
  <c r="E86" i="12"/>
  <c r="F86" i="12" s="1"/>
  <c r="M85" i="12"/>
  <c r="E85" i="12"/>
  <c r="F85" i="12" s="1"/>
  <c r="M84" i="12"/>
  <c r="E84" i="12"/>
  <c r="F84" i="12" s="1"/>
  <c r="M80" i="12"/>
  <c r="J80" i="12"/>
  <c r="I80" i="12"/>
  <c r="H80" i="12"/>
  <c r="M79" i="12"/>
  <c r="J79" i="12"/>
  <c r="I79" i="12"/>
  <c r="M78" i="12"/>
  <c r="J78" i="12"/>
  <c r="I78" i="12"/>
  <c r="G78" i="12"/>
  <c r="M77" i="12"/>
  <c r="J77" i="12"/>
  <c r="I77" i="12"/>
  <c r="M76" i="12"/>
  <c r="M71" i="12"/>
  <c r="M70" i="12"/>
  <c r="M69" i="12"/>
  <c r="M68" i="12"/>
  <c r="E68" i="12"/>
  <c r="F68" i="12" s="1"/>
  <c r="I68" i="12" s="1"/>
  <c r="M66" i="12"/>
  <c r="E66" i="12"/>
  <c r="M65" i="12"/>
  <c r="M61" i="12"/>
  <c r="M60" i="12"/>
  <c r="J60" i="12"/>
  <c r="M59" i="12"/>
  <c r="M55" i="12"/>
  <c r="J55" i="12"/>
  <c r="M54" i="12"/>
  <c r="J54" i="12"/>
  <c r="M53" i="12"/>
  <c r="M49" i="12"/>
  <c r="J49" i="12"/>
  <c r="M48" i="12"/>
  <c r="J48" i="12"/>
  <c r="M47" i="12"/>
  <c r="M43" i="12"/>
  <c r="L43" i="12"/>
  <c r="J43" i="12"/>
  <c r="I43" i="12"/>
  <c r="K43" i="12" s="1"/>
  <c r="E43" i="12"/>
  <c r="B43" i="12"/>
  <c r="M42" i="12"/>
  <c r="J42" i="12"/>
  <c r="M41" i="12"/>
  <c r="J41" i="12"/>
  <c r="M40" i="12"/>
  <c r="M32" i="12"/>
  <c r="M31" i="12"/>
  <c r="M30" i="12"/>
  <c r="M29" i="12"/>
  <c r="M25" i="12"/>
  <c r="M24" i="12"/>
  <c r="H24" i="12"/>
  <c r="M23" i="12"/>
  <c r="I23" i="12"/>
  <c r="G23" i="12"/>
  <c r="J23" i="12" s="1"/>
  <c r="M19" i="12"/>
  <c r="I19" i="12"/>
  <c r="E19" i="12"/>
  <c r="M18" i="12"/>
  <c r="I18" i="12"/>
  <c r="E18" i="12"/>
  <c r="M17" i="12"/>
  <c r="I17" i="12"/>
  <c r="M16" i="12"/>
  <c r="I16" i="12"/>
  <c r="E16" i="12"/>
  <c r="G16" i="12" s="1"/>
  <c r="J16" i="12" s="1"/>
  <c r="M15" i="12"/>
  <c r="I15" i="12"/>
  <c r="M14" i="12"/>
  <c r="I14" i="12"/>
  <c r="G14" i="12"/>
  <c r="J14" i="12" s="1"/>
  <c r="M13" i="12"/>
  <c r="I13" i="12"/>
  <c r="M12" i="12"/>
  <c r="I12" i="12"/>
  <c r="E12" i="12"/>
  <c r="M11" i="12"/>
  <c r="E11" i="12"/>
  <c r="M87" i="11"/>
  <c r="M86" i="11"/>
  <c r="E86" i="11"/>
  <c r="F86" i="11" s="1"/>
  <c r="M85" i="11"/>
  <c r="E85" i="11"/>
  <c r="F85" i="11" s="1"/>
  <c r="M84" i="11"/>
  <c r="E84" i="11"/>
  <c r="F84" i="11" s="1"/>
  <c r="M80" i="11"/>
  <c r="J80" i="11"/>
  <c r="I80" i="11"/>
  <c r="H80" i="11"/>
  <c r="M79" i="11"/>
  <c r="J79" i="11"/>
  <c r="I79" i="11"/>
  <c r="M78" i="11"/>
  <c r="I78" i="11"/>
  <c r="G78" i="11"/>
  <c r="J78" i="11" s="1"/>
  <c r="M77" i="11"/>
  <c r="J77" i="11"/>
  <c r="I77" i="11"/>
  <c r="B67" i="11"/>
  <c r="M76" i="11"/>
  <c r="M71" i="11"/>
  <c r="M70" i="11"/>
  <c r="M69" i="11"/>
  <c r="M68" i="11"/>
  <c r="E68" i="11"/>
  <c r="F68" i="11" s="1"/>
  <c r="I68" i="11" s="1"/>
  <c r="M66" i="11"/>
  <c r="E66" i="11"/>
  <c r="M65" i="11"/>
  <c r="M61" i="11"/>
  <c r="M60" i="11"/>
  <c r="J60" i="11"/>
  <c r="M59" i="11"/>
  <c r="M55" i="11"/>
  <c r="J55" i="11"/>
  <c r="M54" i="11"/>
  <c r="J54" i="11"/>
  <c r="M53" i="11"/>
  <c r="M49" i="11"/>
  <c r="J49" i="11"/>
  <c r="M48" i="11"/>
  <c r="J48" i="11"/>
  <c r="M47" i="11"/>
  <c r="M43" i="11"/>
  <c r="J43" i="11"/>
  <c r="L43" i="11" s="1"/>
  <c r="I43" i="11"/>
  <c r="K43" i="11" s="1"/>
  <c r="E43" i="11"/>
  <c r="B43" i="11"/>
  <c r="M42" i="11"/>
  <c r="J42" i="11"/>
  <c r="M41" i="11"/>
  <c r="J41" i="11"/>
  <c r="M40" i="11"/>
  <c r="M32" i="11"/>
  <c r="M31" i="11"/>
  <c r="M30" i="11"/>
  <c r="M29" i="11"/>
  <c r="M25" i="11"/>
  <c r="M24" i="11"/>
  <c r="H24" i="11"/>
  <c r="M23" i="11"/>
  <c r="J23" i="11"/>
  <c r="I23" i="11"/>
  <c r="G23" i="11"/>
  <c r="M19" i="11"/>
  <c r="I19" i="11"/>
  <c r="M18" i="11"/>
  <c r="I18" i="11"/>
  <c r="E18" i="11"/>
  <c r="M17" i="11"/>
  <c r="I17" i="11"/>
  <c r="M16" i="11"/>
  <c r="I16" i="11"/>
  <c r="M15" i="11"/>
  <c r="I15" i="11"/>
  <c r="M14" i="11"/>
  <c r="I14" i="11"/>
  <c r="E14" i="11"/>
  <c r="M13" i="11"/>
  <c r="I13" i="11"/>
  <c r="M12" i="11"/>
  <c r="I12" i="11"/>
  <c r="M11" i="11"/>
  <c r="D9" i="11"/>
  <c r="M87" i="10"/>
  <c r="M86" i="10"/>
  <c r="E86" i="10"/>
  <c r="F86" i="10" s="1"/>
  <c r="M85" i="10"/>
  <c r="E85" i="10"/>
  <c r="F85" i="10" s="1"/>
  <c r="M84" i="10"/>
  <c r="E84" i="10"/>
  <c r="F84" i="10" s="1"/>
  <c r="M80" i="10"/>
  <c r="J80" i="10"/>
  <c r="I80" i="10"/>
  <c r="H80" i="10"/>
  <c r="M79" i="10"/>
  <c r="J79" i="10"/>
  <c r="I79" i="10"/>
  <c r="M78" i="10"/>
  <c r="I78" i="10"/>
  <c r="G78" i="10"/>
  <c r="J78" i="10" s="1"/>
  <c r="M77" i="10"/>
  <c r="J77" i="10"/>
  <c r="I77" i="10"/>
  <c r="B67" i="10"/>
  <c r="M76" i="10"/>
  <c r="M71" i="10"/>
  <c r="M70" i="10"/>
  <c r="M69" i="10"/>
  <c r="M68" i="10"/>
  <c r="E68" i="10"/>
  <c r="F68" i="10" s="1"/>
  <c r="M66" i="10"/>
  <c r="E66" i="10"/>
  <c r="M65" i="10"/>
  <c r="M61" i="10"/>
  <c r="M60" i="10"/>
  <c r="J60" i="10"/>
  <c r="M59" i="10"/>
  <c r="M55" i="10"/>
  <c r="J55" i="10"/>
  <c r="M54" i="10"/>
  <c r="J54" i="10"/>
  <c r="M53" i="10"/>
  <c r="M49" i="10"/>
  <c r="J49" i="10"/>
  <c r="M48" i="10"/>
  <c r="J48" i="10"/>
  <c r="M47" i="10"/>
  <c r="M43" i="10"/>
  <c r="K43" i="10"/>
  <c r="J43" i="10"/>
  <c r="L43" i="10" s="1"/>
  <c r="I43" i="10"/>
  <c r="E43" i="10"/>
  <c r="B43" i="10"/>
  <c r="M42" i="10"/>
  <c r="J42" i="10"/>
  <c r="M41" i="10"/>
  <c r="J41" i="10"/>
  <c r="M40" i="10"/>
  <c r="M32" i="10"/>
  <c r="M31" i="10"/>
  <c r="M30" i="10"/>
  <c r="M29" i="10"/>
  <c r="M25" i="10"/>
  <c r="H24" i="10"/>
  <c r="M24" i="10" s="1"/>
  <c r="M23" i="10"/>
  <c r="J23" i="10"/>
  <c r="I23" i="10"/>
  <c r="G23" i="10"/>
  <c r="M19" i="10"/>
  <c r="I19" i="10"/>
  <c r="E19" i="10"/>
  <c r="M18" i="10"/>
  <c r="I18" i="10"/>
  <c r="M17" i="10"/>
  <c r="I17" i="10"/>
  <c r="E17" i="10"/>
  <c r="G17" i="10" s="1"/>
  <c r="J17" i="10" s="1"/>
  <c r="M16" i="10"/>
  <c r="I16" i="10"/>
  <c r="E16" i="10"/>
  <c r="M15" i="10"/>
  <c r="I15" i="10"/>
  <c r="E15" i="10"/>
  <c r="M14" i="10"/>
  <c r="G14" i="10"/>
  <c r="J14" i="10" s="1"/>
  <c r="I14" i="10"/>
  <c r="E14" i="10"/>
  <c r="M13" i="10"/>
  <c r="I13" i="10"/>
  <c r="D9" i="10"/>
  <c r="M12" i="10"/>
  <c r="M11" i="10"/>
  <c r="I11" i="10"/>
  <c r="C9" i="10"/>
  <c r="M87" i="9"/>
  <c r="M86" i="9"/>
  <c r="E86" i="9"/>
  <c r="F86" i="9" s="1"/>
  <c r="M85" i="9"/>
  <c r="E85" i="9"/>
  <c r="F85" i="9" s="1"/>
  <c r="M84" i="9"/>
  <c r="E84" i="9"/>
  <c r="F84" i="9" s="1"/>
  <c r="M80" i="9"/>
  <c r="J80" i="9"/>
  <c r="I80" i="9"/>
  <c r="H80" i="9"/>
  <c r="M79" i="9"/>
  <c r="J79" i="9"/>
  <c r="I79" i="9"/>
  <c r="M78" i="9"/>
  <c r="I78" i="9"/>
  <c r="G78" i="9"/>
  <c r="J78" i="9" s="1"/>
  <c r="M77" i="9"/>
  <c r="J77" i="9"/>
  <c r="I77" i="9"/>
  <c r="M76" i="9"/>
  <c r="M71" i="9"/>
  <c r="M70" i="9"/>
  <c r="M69" i="9"/>
  <c r="M68" i="9"/>
  <c r="E68" i="9"/>
  <c r="F68" i="9" s="1"/>
  <c r="M66" i="9"/>
  <c r="E66" i="9"/>
  <c r="M65" i="9"/>
  <c r="M61" i="9"/>
  <c r="M60" i="9"/>
  <c r="J60" i="9"/>
  <c r="M59" i="9"/>
  <c r="M55" i="9"/>
  <c r="J55" i="9"/>
  <c r="M54" i="9"/>
  <c r="J54" i="9"/>
  <c r="M53" i="9"/>
  <c r="M49" i="9"/>
  <c r="J49" i="9"/>
  <c r="M48" i="9"/>
  <c r="J48" i="9"/>
  <c r="M47" i="9"/>
  <c r="M43" i="9"/>
  <c r="J43" i="9"/>
  <c r="L43" i="9" s="1"/>
  <c r="I43" i="9"/>
  <c r="K43" i="9" s="1"/>
  <c r="B43" i="9"/>
  <c r="E43" i="9" s="1"/>
  <c r="M42" i="9"/>
  <c r="J42" i="9"/>
  <c r="M41" i="9"/>
  <c r="J41" i="9"/>
  <c r="M40" i="9"/>
  <c r="M32" i="9"/>
  <c r="M31" i="9"/>
  <c r="M30" i="9"/>
  <c r="M29" i="9"/>
  <c r="M25" i="9"/>
  <c r="M24" i="9"/>
  <c r="H24" i="9"/>
  <c r="M23" i="9"/>
  <c r="J23" i="9"/>
  <c r="I23" i="9"/>
  <c r="G23" i="9"/>
  <c r="M19" i="9"/>
  <c r="I19" i="9"/>
  <c r="M18" i="9"/>
  <c r="I18" i="9"/>
  <c r="M17" i="9"/>
  <c r="I17" i="9"/>
  <c r="M16" i="9"/>
  <c r="I16" i="9"/>
  <c r="M15" i="9"/>
  <c r="I15" i="9"/>
  <c r="E15" i="9"/>
  <c r="M14" i="9"/>
  <c r="I14" i="9"/>
  <c r="G14" i="9"/>
  <c r="J14" i="9" s="1"/>
  <c r="E14" i="9"/>
  <c r="M13" i="9"/>
  <c r="I13" i="9"/>
  <c r="M12" i="9"/>
  <c r="I12" i="9"/>
  <c r="M11" i="9"/>
  <c r="E11" i="9"/>
  <c r="M87" i="8"/>
  <c r="M86" i="8"/>
  <c r="E86" i="8"/>
  <c r="F86" i="8" s="1"/>
  <c r="M85" i="8"/>
  <c r="E85" i="8"/>
  <c r="F85" i="8" s="1"/>
  <c r="M84" i="8"/>
  <c r="E84" i="8"/>
  <c r="F84" i="8" s="1"/>
  <c r="M80" i="8"/>
  <c r="J80" i="8"/>
  <c r="I80" i="8"/>
  <c r="H80" i="8"/>
  <c r="M79" i="8"/>
  <c r="J79" i="8"/>
  <c r="I79" i="8"/>
  <c r="M78" i="8"/>
  <c r="J78" i="8"/>
  <c r="I78" i="8"/>
  <c r="G78" i="8"/>
  <c r="M77" i="8"/>
  <c r="J77" i="8"/>
  <c r="I77" i="8"/>
  <c r="M76" i="8"/>
  <c r="M71" i="8"/>
  <c r="M70" i="8"/>
  <c r="M69" i="8"/>
  <c r="M68" i="8"/>
  <c r="E68" i="8"/>
  <c r="F68" i="8" s="1"/>
  <c r="I68" i="8" s="1"/>
  <c r="M66" i="8"/>
  <c r="E66" i="8"/>
  <c r="M65" i="8"/>
  <c r="M61" i="8"/>
  <c r="M60" i="8"/>
  <c r="J60" i="8"/>
  <c r="M59" i="8"/>
  <c r="M55" i="8"/>
  <c r="J55" i="8"/>
  <c r="M54" i="8"/>
  <c r="J54" i="8"/>
  <c r="M53" i="8"/>
  <c r="M49" i="8"/>
  <c r="J49" i="8"/>
  <c r="M48" i="8"/>
  <c r="J48" i="8"/>
  <c r="M47" i="8"/>
  <c r="M43" i="8"/>
  <c r="L43" i="8"/>
  <c r="J43" i="8"/>
  <c r="I43" i="8"/>
  <c r="K43" i="8" s="1"/>
  <c r="E43" i="8"/>
  <c r="B43" i="8"/>
  <c r="M42" i="8"/>
  <c r="J42" i="8"/>
  <c r="M41" i="8"/>
  <c r="J41" i="8"/>
  <c r="M40" i="8"/>
  <c r="M32" i="8"/>
  <c r="M31" i="8"/>
  <c r="M30" i="8"/>
  <c r="M29" i="8"/>
  <c r="M25" i="8"/>
  <c r="M24" i="8"/>
  <c r="H24" i="8"/>
  <c r="M23" i="8"/>
  <c r="M19" i="8"/>
  <c r="I19" i="8"/>
  <c r="M18" i="8"/>
  <c r="I18" i="8"/>
  <c r="M17" i="8"/>
  <c r="I17" i="8"/>
  <c r="M16" i="8"/>
  <c r="I16" i="8"/>
  <c r="B9" i="8"/>
  <c r="M15" i="8"/>
  <c r="I15" i="8"/>
  <c r="M14" i="8"/>
  <c r="E14" i="8"/>
  <c r="M13" i="8"/>
  <c r="I13" i="8"/>
  <c r="M12" i="8"/>
  <c r="I12" i="8"/>
  <c r="E12" i="8"/>
  <c r="M11" i="8"/>
  <c r="M87" i="7"/>
  <c r="M86" i="7"/>
  <c r="E86" i="7"/>
  <c r="F86" i="7" s="1"/>
  <c r="M85" i="7"/>
  <c r="E85" i="7"/>
  <c r="F85" i="7" s="1"/>
  <c r="M84" i="7"/>
  <c r="E84" i="7"/>
  <c r="F84" i="7" s="1"/>
  <c r="J80" i="7"/>
  <c r="H80" i="7"/>
  <c r="I80" i="7" s="1"/>
  <c r="M79" i="7"/>
  <c r="J79" i="7"/>
  <c r="I79" i="7"/>
  <c r="M78" i="7"/>
  <c r="J78" i="7"/>
  <c r="I78" i="7"/>
  <c r="G78" i="7"/>
  <c r="M77" i="7"/>
  <c r="J77" i="7"/>
  <c r="I77" i="7"/>
  <c r="M76" i="7"/>
  <c r="M71" i="7"/>
  <c r="M70" i="7"/>
  <c r="M69" i="7"/>
  <c r="M68" i="7"/>
  <c r="E68" i="7"/>
  <c r="F68" i="7" s="1"/>
  <c r="M66" i="7"/>
  <c r="E66" i="7"/>
  <c r="M65" i="7"/>
  <c r="M61" i="7"/>
  <c r="M60" i="7"/>
  <c r="J60" i="7"/>
  <c r="M59" i="7"/>
  <c r="M55" i="7"/>
  <c r="J55" i="7"/>
  <c r="M54" i="7"/>
  <c r="J54" i="7"/>
  <c r="M53" i="7"/>
  <c r="M49" i="7"/>
  <c r="J49" i="7"/>
  <c r="M48" i="7"/>
  <c r="J48" i="7"/>
  <c r="M47" i="7"/>
  <c r="M43" i="7"/>
  <c r="L43" i="7"/>
  <c r="J43" i="7"/>
  <c r="I43" i="7"/>
  <c r="K43" i="7" s="1"/>
  <c r="B43" i="7"/>
  <c r="E43" i="7" s="1"/>
  <c r="M42" i="7"/>
  <c r="J42" i="7"/>
  <c r="M41" i="7"/>
  <c r="J41" i="7"/>
  <c r="M40" i="7"/>
  <c r="M32" i="7"/>
  <c r="M31" i="7"/>
  <c r="M30" i="7"/>
  <c r="M29" i="7"/>
  <c r="M25" i="7"/>
  <c r="M24" i="7"/>
  <c r="H24" i="7"/>
  <c r="M23" i="7"/>
  <c r="I23" i="7"/>
  <c r="G23" i="7"/>
  <c r="J23" i="7" s="1"/>
  <c r="M19" i="7"/>
  <c r="I19" i="7"/>
  <c r="M18" i="7"/>
  <c r="I18" i="7"/>
  <c r="M17" i="7"/>
  <c r="I17" i="7"/>
  <c r="M16" i="7"/>
  <c r="I16" i="7"/>
  <c r="M15" i="7"/>
  <c r="I15" i="7"/>
  <c r="M14" i="7"/>
  <c r="I14" i="7"/>
  <c r="M13" i="7"/>
  <c r="I13" i="7"/>
  <c r="M12" i="7"/>
  <c r="I12" i="7"/>
  <c r="M11" i="7"/>
  <c r="M87" i="6"/>
  <c r="M86" i="6"/>
  <c r="E86" i="6"/>
  <c r="F86" i="6" s="1"/>
  <c r="M85" i="6"/>
  <c r="E85" i="6"/>
  <c r="F85" i="6" s="1"/>
  <c r="M84" i="6"/>
  <c r="E84" i="6"/>
  <c r="F84" i="6" s="1"/>
  <c r="M80" i="6"/>
  <c r="J80" i="6"/>
  <c r="H80" i="6"/>
  <c r="I80" i="6" s="1"/>
  <c r="M79" i="6"/>
  <c r="J79" i="6"/>
  <c r="I79" i="6"/>
  <c r="M78" i="6"/>
  <c r="I78" i="6"/>
  <c r="G78" i="6"/>
  <c r="J78" i="6" s="1"/>
  <c r="M77" i="6"/>
  <c r="J77" i="6"/>
  <c r="I77" i="6"/>
  <c r="M76" i="6"/>
  <c r="M71" i="6"/>
  <c r="M70" i="6"/>
  <c r="M69" i="6"/>
  <c r="M68" i="6"/>
  <c r="E68" i="6"/>
  <c r="F68" i="6" s="1"/>
  <c r="M66" i="6"/>
  <c r="E66" i="6"/>
  <c r="M65" i="6"/>
  <c r="M61" i="6"/>
  <c r="M60" i="6"/>
  <c r="J60" i="6"/>
  <c r="M59" i="6"/>
  <c r="M55" i="6"/>
  <c r="J55" i="6"/>
  <c r="M54" i="6"/>
  <c r="J54" i="6"/>
  <c r="M53" i="6"/>
  <c r="M49" i="6"/>
  <c r="J49" i="6"/>
  <c r="M48" i="6"/>
  <c r="J48" i="6"/>
  <c r="M47" i="6"/>
  <c r="M43" i="6"/>
  <c r="J43" i="6"/>
  <c r="L43" i="6" s="1"/>
  <c r="I43" i="6"/>
  <c r="K43" i="6" s="1"/>
  <c r="E43" i="6"/>
  <c r="B43" i="6"/>
  <c r="M42" i="6"/>
  <c r="J42" i="6"/>
  <c r="M41" i="6"/>
  <c r="J41" i="6"/>
  <c r="M40" i="6"/>
  <c r="M32" i="6"/>
  <c r="M31" i="6"/>
  <c r="M30" i="6"/>
  <c r="M29" i="6"/>
  <c r="M25" i="6"/>
  <c r="H24" i="6"/>
  <c r="M24" i="6" s="1"/>
  <c r="M23" i="6"/>
  <c r="J23" i="6"/>
  <c r="I23" i="6"/>
  <c r="G23" i="6"/>
  <c r="M19" i="6"/>
  <c r="I19" i="6"/>
  <c r="E19" i="6"/>
  <c r="G19" i="6" s="1"/>
  <c r="J19" i="6" s="1"/>
  <c r="M18" i="6"/>
  <c r="I18" i="6"/>
  <c r="M17" i="6"/>
  <c r="I17" i="6"/>
  <c r="M16" i="6"/>
  <c r="I16" i="6"/>
  <c r="M15" i="6"/>
  <c r="I15" i="6"/>
  <c r="E15" i="6"/>
  <c r="G15" i="6" s="1"/>
  <c r="J15" i="6" s="1"/>
  <c r="M14" i="6"/>
  <c r="I14" i="6"/>
  <c r="E14" i="6"/>
  <c r="M13" i="6"/>
  <c r="I13" i="6"/>
  <c r="D9" i="6"/>
  <c r="M12" i="6"/>
  <c r="I12" i="6"/>
  <c r="M11" i="6"/>
  <c r="F9" i="6"/>
  <c r="E11" i="6"/>
  <c r="C9" i="6"/>
  <c r="B9" i="6"/>
  <c r="M87" i="5"/>
  <c r="M86" i="5"/>
  <c r="E86" i="5"/>
  <c r="F86" i="5" s="1"/>
  <c r="M85" i="5"/>
  <c r="E85" i="5"/>
  <c r="F85" i="5" s="1"/>
  <c r="M84" i="5"/>
  <c r="E84" i="5"/>
  <c r="F84" i="5" s="1"/>
  <c r="M80" i="5"/>
  <c r="J80" i="5"/>
  <c r="I80" i="5"/>
  <c r="H80" i="5"/>
  <c r="M79" i="5"/>
  <c r="J79" i="5"/>
  <c r="I79" i="5"/>
  <c r="M78" i="5"/>
  <c r="J78" i="5"/>
  <c r="I78" i="5"/>
  <c r="G78" i="5"/>
  <c r="M77" i="5"/>
  <c r="J77" i="5"/>
  <c r="I77" i="5"/>
  <c r="G77" i="5"/>
  <c r="M76" i="5"/>
  <c r="M71" i="5"/>
  <c r="M70" i="5"/>
  <c r="M69" i="5"/>
  <c r="M68" i="5"/>
  <c r="M66" i="5"/>
  <c r="E66" i="5"/>
  <c r="M65" i="5"/>
  <c r="M61" i="5"/>
  <c r="M60" i="5"/>
  <c r="J60" i="5"/>
  <c r="M59" i="5"/>
  <c r="M55" i="5"/>
  <c r="J55" i="5"/>
  <c r="M54" i="5"/>
  <c r="J54" i="5"/>
  <c r="M53" i="5"/>
  <c r="M49" i="5"/>
  <c r="J49" i="5"/>
  <c r="M48" i="5"/>
  <c r="J48" i="5"/>
  <c r="M47" i="5"/>
  <c r="M43" i="5"/>
  <c r="K43" i="5"/>
  <c r="J43" i="5"/>
  <c r="L43" i="5" s="1"/>
  <c r="I43" i="5"/>
  <c r="E43" i="5"/>
  <c r="B43" i="5"/>
  <c r="M42" i="5"/>
  <c r="J42" i="5"/>
  <c r="M41" i="5"/>
  <c r="J41" i="5"/>
  <c r="M40" i="5"/>
  <c r="M32" i="5"/>
  <c r="M31" i="5"/>
  <c r="M30" i="5"/>
  <c r="M29" i="5"/>
  <c r="M25" i="5"/>
  <c r="H24" i="5"/>
  <c r="M24" i="5" s="1"/>
  <c r="M23" i="5"/>
  <c r="J23" i="5"/>
  <c r="I23" i="5"/>
  <c r="G23" i="5"/>
  <c r="M19" i="5"/>
  <c r="I19" i="5"/>
  <c r="E19" i="5"/>
  <c r="M18" i="5"/>
  <c r="I18" i="5"/>
  <c r="M17" i="5"/>
  <c r="I17" i="5"/>
  <c r="M16" i="5"/>
  <c r="I16" i="5"/>
  <c r="E16" i="5"/>
  <c r="M15" i="5"/>
  <c r="I15" i="5"/>
  <c r="M14" i="5"/>
  <c r="G14" i="5"/>
  <c r="J14" i="5" s="1"/>
  <c r="I14" i="5"/>
  <c r="M13" i="5"/>
  <c r="I13" i="5"/>
  <c r="C9" i="5"/>
  <c r="M12" i="5"/>
  <c r="E12" i="5"/>
  <c r="G12" i="5" s="1"/>
  <c r="J12" i="5" s="1"/>
  <c r="M11" i="5"/>
  <c r="I11" i="5"/>
  <c r="E11" i="5"/>
  <c r="M87" i="4"/>
  <c r="M86" i="4"/>
  <c r="E86" i="4"/>
  <c r="F86" i="4" s="1"/>
  <c r="M85" i="4"/>
  <c r="E85" i="4"/>
  <c r="F85" i="4" s="1"/>
  <c r="M84" i="4"/>
  <c r="E84" i="4"/>
  <c r="F84" i="4" s="1"/>
  <c r="M80" i="4"/>
  <c r="J80" i="4"/>
  <c r="I80" i="4"/>
  <c r="H80" i="4"/>
  <c r="M79" i="4"/>
  <c r="J79" i="4"/>
  <c r="M78" i="4"/>
  <c r="I78" i="4"/>
  <c r="G78" i="4"/>
  <c r="J78" i="4" s="1"/>
  <c r="M77" i="4"/>
  <c r="I77" i="4"/>
  <c r="B67" i="4" s="1"/>
  <c r="G77" i="4"/>
  <c r="J77" i="4" s="1"/>
  <c r="M76" i="4"/>
  <c r="M71" i="4"/>
  <c r="M70" i="4"/>
  <c r="M69" i="4"/>
  <c r="M68" i="4"/>
  <c r="E68" i="4"/>
  <c r="F68" i="4" s="1"/>
  <c r="M66" i="4"/>
  <c r="E66" i="4"/>
  <c r="M65" i="4"/>
  <c r="M61" i="4"/>
  <c r="M60" i="4"/>
  <c r="J60" i="4"/>
  <c r="M59" i="4"/>
  <c r="M55" i="4"/>
  <c r="J55" i="4"/>
  <c r="M54" i="4"/>
  <c r="J54" i="4"/>
  <c r="M53" i="4"/>
  <c r="M49" i="4"/>
  <c r="J49" i="4"/>
  <c r="M48" i="4"/>
  <c r="J48" i="4"/>
  <c r="M47" i="4"/>
  <c r="M43" i="4"/>
  <c r="J43" i="4"/>
  <c r="I43" i="4"/>
  <c r="B43" i="4"/>
  <c r="E43" i="4" s="1"/>
  <c r="M42" i="4"/>
  <c r="J42" i="4"/>
  <c r="M41" i="4"/>
  <c r="J41" i="4"/>
  <c r="M40" i="4"/>
  <c r="M31" i="4"/>
  <c r="M30" i="4"/>
  <c r="M29" i="4"/>
  <c r="M25" i="4"/>
  <c r="H24" i="4"/>
  <c r="M24" i="4" s="1"/>
  <c r="M23" i="4"/>
  <c r="I23" i="4"/>
  <c r="G23" i="4"/>
  <c r="J23" i="4" s="1"/>
  <c r="M19" i="4"/>
  <c r="I19" i="4"/>
  <c r="E19" i="4"/>
  <c r="G19" i="4" s="1"/>
  <c r="J19" i="4" s="1"/>
  <c r="M18" i="4"/>
  <c r="I18" i="4"/>
  <c r="E18" i="4"/>
  <c r="G18" i="4" s="1"/>
  <c r="J18" i="4" s="1"/>
  <c r="M17" i="4"/>
  <c r="I17" i="4"/>
  <c r="M16" i="4"/>
  <c r="I16" i="4"/>
  <c r="M15" i="4"/>
  <c r="I15" i="4"/>
  <c r="E15" i="4"/>
  <c r="G15" i="4" s="1"/>
  <c r="J15" i="4" s="1"/>
  <c r="M14" i="4"/>
  <c r="G14" i="4"/>
  <c r="J14" i="4" s="1"/>
  <c r="I14" i="4"/>
  <c r="E14" i="4"/>
  <c r="M13" i="4"/>
  <c r="I13" i="4"/>
  <c r="M12" i="4"/>
  <c r="M11" i="4"/>
  <c r="I11" i="4"/>
  <c r="E11" i="4"/>
  <c r="M87" i="3"/>
  <c r="M86" i="3"/>
  <c r="E86" i="3"/>
  <c r="F86" i="3" s="1"/>
  <c r="M85" i="3"/>
  <c r="E85" i="3"/>
  <c r="F85" i="3" s="1"/>
  <c r="M84" i="3"/>
  <c r="E84" i="3"/>
  <c r="F84" i="3" s="1"/>
  <c r="H80" i="3"/>
  <c r="M80" i="3" s="1"/>
  <c r="M79" i="3"/>
  <c r="J79" i="3"/>
  <c r="M78" i="3"/>
  <c r="I78" i="3"/>
  <c r="G78" i="3"/>
  <c r="J78" i="3" s="1"/>
  <c r="M77" i="3"/>
  <c r="I77" i="3"/>
  <c r="G77" i="3"/>
  <c r="J77" i="3" s="1"/>
  <c r="M76" i="3"/>
  <c r="M71" i="3"/>
  <c r="M70" i="3"/>
  <c r="M69" i="3"/>
  <c r="M68" i="3"/>
  <c r="E68" i="3"/>
  <c r="F68" i="3" s="1"/>
  <c r="M66" i="3"/>
  <c r="E66" i="3"/>
  <c r="M65" i="3"/>
  <c r="M61" i="3"/>
  <c r="M60" i="3"/>
  <c r="J60" i="3"/>
  <c r="M59" i="3"/>
  <c r="M55" i="3"/>
  <c r="J55" i="3"/>
  <c r="M54" i="3"/>
  <c r="J54" i="3"/>
  <c r="M53" i="3"/>
  <c r="M49" i="3"/>
  <c r="J49" i="3"/>
  <c r="M48" i="3"/>
  <c r="J48" i="3"/>
  <c r="M47" i="3"/>
  <c r="M43" i="3"/>
  <c r="J43" i="3"/>
  <c r="I43" i="3"/>
  <c r="B43" i="3"/>
  <c r="E43" i="3" s="1"/>
  <c r="M42" i="3"/>
  <c r="J42" i="3"/>
  <c r="M41" i="3"/>
  <c r="J41" i="3"/>
  <c r="M40" i="3"/>
  <c r="M31" i="3"/>
  <c r="M30" i="3"/>
  <c r="M29" i="3"/>
  <c r="M25" i="3"/>
  <c r="H24" i="3"/>
  <c r="M24" i="3" s="1"/>
  <c r="M23" i="3"/>
  <c r="I23" i="3"/>
  <c r="G23" i="3"/>
  <c r="J23" i="3" s="1"/>
  <c r="M19" i="3"/>
  <c r="I19" i="3"/>
  <c r="M18" i="3"/>
  <c r="I18" i="3"/>
  <c r="E18" i="3"/>
  <c r="M17" i="3"/>
  <c r="M16" i="3"/>
  <c r="D9" i="3"/>
  <c r="E16" i="3"/>
  <c r="G16" i="3" s="1"/>
  <c r="J16" i="3" s="1"/>
  <c r="M15" i="3"/>
  <c r="I15" i="3"/>
  <c r="E15" i="3"/>
  <c r="G15" i="3" s="1"/>
  <c r="J15" i="3" s="1"/>
  <c r="M14" i="3"/>
  <c r="E14" i="3"/>
  <c r="M13" i="3"/>
  <c r="I13" i="3"/>
  <c r="M12" i="3"/>
  <c r="E12" i="3"/>
  <c r="G12" i="3" s="1"/>
  <c r="J12" i="3" s="1"/>
  <c r="M11" i="3"/>
  <c r="I11" i="3"/>
  <c r="R3" i="3"/>
  <c r="M87" i="2"/>
  <c r="M86" i="2"/>
  <c r="E86" i="2"/>
  <c r="F86" i="2" s="1"/>
  <c r="M85" i="2"/>
  <c r="E85" i="2"/>
  <c r="F85" i="2" s="1"/>
  <c r="M84" i="2"/>
  <c r="E84" i="2"/>
  <c r="F84" i="2" s="1"/>
  <c r="M80" i="2"/>
  <c r="H80" i="2"/>
  <c r="J80" i="2" s="1"/>
  <c r="M79" i="2"/>
  <c r="J79" i="2"/>
  <c r="M78" i="2"/>
  <c r="I78" i="2"/>
  <c r="G78" i="2"/>
  <c r="J78" i="2" s="1"/>
  <c r="M77" i="2"/>
  <c r="I77" i="2"/>
  <c r="G77" i="2"/>
  <c r="J77" i="2" s="1"/>
  <c r="M76" i="2"/>
  <c r="M71" i="2"/>
  <c r="M70" i="2"/>
  <c r="M69" i="2"/>
  <c r="M68" i="2"/>
  <c r="E68" i="2"/>
  <c r="F68" i="2" s="1"/>
  <c r="M66" i="2"/>
  <c r="E66" i="2"/>
  <c r="M65" i="2"/>
  <c r="M61" i="2"/>
  <c r="M60" i="2"/>
  <c r="J60" i="2"/>
  <c r="M59" i="2"/>
  <c r="M55" i="2"/>
  <c r="J55" i="2"/>
  <c r="M54" i="2"/>
  <c r="J54" i="2"/>
  <c r="M53" i="2"/>
  <c r="M49" i="2"/>
  <c r="J49" i="2"/>
  <c r="M48" i="2"/>
  <c r="J48" i="2"/>
  <c r="M47" i="2"/>
  <c r="M43" i="2"/>
  <c r="J43" i="2"/>
  <c r="I43" i="2"/>
  <c r="B43" i="2"/>
  <c r="E43" i="2" s="1"/>
  <c r="M42" i="2"/>
  <c r="J42" i="2"/>
  <c r="M41" i="2"/>
  <c r="J41" i="2"/>
  <c r="M40" i="2"/>
  <c r="M31" i="2"/>
  <c r="M30" i="2"/>
  <c r="M29" i="2"/>
  <c r="M25" i="2"/>
  <c r="H24" i="2"/>
  <c r="M24" i="2" s="1"/>
  <c r="M23" i="2"/>
  <c r="I23" i="2"/>
  <c r="G23" i="2"/>
  <c r="M19" i="2"/>
  <c r="M18" i="2"/>
  <c r="E18" i="2"/>
  <c r="G18" i="2" s="1"/>
  <c r="J18" i="2" s="1"/>
  <c r="M17" i="2"/>
  <c r="M16" i="2"/>
  <c r="I16" i="2"/>
  <c r="E16" i="2"/>
  <c r="G16" i="2" s="1"/>
  <c r="J16" i="2" s="1"/>
  <c r="M15" i="2"/>
  <c r="M14" i="2"/>
  <c r="E14" i="2"/>
  <c r="M13" i="2"/>
  <c r="M12" i="2"/>
  <c r="E12" i="2"/>
  <c r="G12" i="2" s="1"/>
  <c r="J12" i="2" s="1"/>
  <c r="M11" i="2"/>
  <c r="E11" i="2"/>
  <c r="R3" i="2"/>
  <c r="S16" i="19" l="1"/>
  <c r="R16" i="19"/>
  <c r="J67" i="4"/>
  <c r="P85" i="19"/>
  <c r="O85" i="19"/>
  <c r="C23" i="2"/>
  <c r="D25" i="2"/>
  <c r="D21" i="19"/>
  <c r="E42" i="19"/>
  <c r="C38" i="19"/>
  <c r="F42" i="19"/>
  <c r="B24" i="2"/>
  <c r="D24" i="2"/>
  <c r="D47" i="2"/>
  <c r="D47" i="19"/>
  <c r="D45" i="19" s="1"/>
  <c r="D53" i="2"/>
  <c r="D53" i="19"/>
  <c r="D51" i="19" s="1"/>
  <c r="P86" i="19"/>
  <c r="O86" i="19"/>
  <c r="P66" i="19"/>
  <c r="O66" i="19"/>
  <c r="B25" i="2"/>
  <c r="O68" i="19"/>
  <c r="P68" i="19"/>
  <c r="C25" i="2"/>
  <c r="C55" i="2"/>
  <c r="C55" i="19"/>
  <c r="B23" i="2"/>
  <c r="D41" i="2"/>
  <c r="D41" i="19"/>
  <c r="D38" i="19" s="1"/>
  <c r="P29" i="2"/>
  <c r="I79" i="4"/>
  <c r="P79" i="19"/>
  <c r="O79" i="19"/>
  <c r="C24" i="2"/>
  <c r="P21" i="14"/>
  <c r="C49" i="2"/>
  <c r="C49" i="19"/>
  <c r="P84" i="19"/>
  <c r="O84" i="19"/>
  <c r="C27" i="19"/>
  <c r="B54" i="9"/>
  <c r="V21" i="14"/>
  <c r="E59" i="7"/>
  <c r="F59" i="7" s="1"/>
  <c r="I59" i="7" s="1"/>
  <c r="E69" i="11"/>
  <c r="F69" i="11" s="1"/>
  <c r="I69" i="11" s="1"/>
  <c r="E71" i="5"/>
  <c r="F71" i="5" s="1"/>
  <c r="I71" i="5" s="1"/>
  <c r="E70" i="5"/>
  <c r="F70" i="5" s="1"/>
  <c r="I70" i="5" s="1"/>
  <c r="C57" i="5"/>
  <c r="C57" i="4"/>
  <c r="W41" i="14"/>
  <c r="X41" i="14" s="1"/>
  <c r="Y41" i="14" s="1"/>
  <c r="Z41" i="14" s="1"/>
  <c r="S43" i="3"/>
  <c r="R43" i="3"/>
  <c r="S23" i="3"/>
  <c r="R23" i="3"/>
  <c r="R77" i="3"/>
  <c r="S77" i="3"/>
  <c r="B67" i="3"/>
  <c r="I67" i="3" s="1"/>
  <c r="S78" i="3"/>
  <c r="R78" i="3"/>
  <c r="S23" i="2"/>
  <c r="R23" i="2"/>
  <c r="R77" i="2"/>
  <c r="S77" i="2"/>
  <c r="B67" i="2"/>
  <c r="J67" i="2" s="1"/>
  <c r="S43" i="2"/>
  <c r="R43" i="2"/>
  <c r="S78" i="2"/>
  <c r="R78" i="2"/>
  <c r="E60" i="8"/>
  <c r="F60" i="8" s="1"/>
  <c r="I60" i="8" s="1"/>
  <c r="O30" i="3"/>
  <c r="E67" i="4"/>
  <c r="F67" i="4" s="1"/>
  <c r="E72" i="9"/>
  <c r="F72" i="9" s="1"/>
  <c r="G72" i="9" s="1"/>
  <c r="I72" i="9" s="1"/>
  <c r="C57" i="2"/>
  <c r="E78" i="2"/>
  <c r="I67" i="6"/>
  <c r="E69" i="7"/>
  <c r="F69" i="7" s="1"/>
  <c r="I69" i="7" s="1"/>
  <c r="B54" i="11"/>
  <c r="E21" i="7"/>
  <c r="E72" i="10"/>
  <c r="F72" i="10" s="1"/>
  <c r="G72" i="10" s="1"/>
  <c r="I72" i="10" s="1"/>
  <c r="Q7" i="14"/>
  <c r="Y7" i="14"/>
  <c r="R22" i="14"/>
  <c r="E78" i="4"/>
  <c r="E76" i="6"/>
  <c r="F76" i="6" s="1"/>
  <c r="G76" i="6" s="1"/>
  <c r="E69" i="8"/>
  <c r="F69" i="8" s="1"/>
  <c r="I69" i="8" s="1"/>
  <c r="E78" i="9"/>
  <c r="E87" i="2"/>
  <c r="F87" i="2" s="1"/>
  <c r="F82" i="2" s="1"/>
  <c r="E69" i="3"/>
  <c r="F69" i="3" s="1"/>
  <c r="E77" i="4"/>
  <c r="E67" i="5"/>
  <c r="F67" i="5" s="1"/>
  <c r="E69" i="9"/>
  <c r="F69" i="9" s="1"/>
  <c r="I69" i="9" s="1"/>
  <c r="B40" i="7"/>
  <c r="Q21" i="14"/>
  <c r="E77" i="11"/>
  <c r="E70" i="4"/>
  <c r="F70" i="4" s="1"/>
  <c r="B57" i="5"/>
  <c r="E78" i="6"/>
  <c r="E61" i="7"/>
  <c r="F61" i="7" s="1"/>
  <c r="I61" i="7" s="1"/>
  <c r="E65" i="10"/>
  <c r="F65" i="10" s="1"/>
  <c r="Y21" i="14"/>
  <c r="E65" i="4"/>
  <c r="F65" i="4" s="1"/>
  <c r="G65" i="4" s="1"/>
  <c r="J65" i="4" s="1"/>
  <c r="E60" i="6"/>
  <c r="F60" i="6" s="1"/>
  <c r="I60" i="6" s="1"/>
  <c r="E76" i="10"/>
  <c r="F76" i="10" s="1"/>
  <c r="G76" i="10" s="1"/>
  <c r="B57" i="11"/>
  <c r="E76" i="11"/>
  <c r="F76" i="11" s="1"/>
  <c r="F74" i="11" s="1"/>
  <c r="E60" i="12"/>
  <c r="F60" i="12" s="1"/>
  <c r="I60" i="12" s="1"/>
  <c r="B40" i="12"/>
  <c r="E78" i="12"/>
  <c r="E60" i="2"/>
  <c r="F60" i="2" s="1"/>
  <c r="I60" i="2" s="1"/>
  <c r="B57" i="4"/>
  <c r="E70" i="7"/>
  <c r="F70" i="7" s="1"/>
  <c r="I70" i="7" s="1"/>
  <c r="E71" i="8"/>
  <c r="F71" i="8" s="1"/>
  <c r="I71" i="8" s="1"/>
  <c r="C57" i="10"/>
  <c r="D57" i="8"/>
  <c r="E78" i="8"/>
  <c r="B41" i="10"/>
  <c r="D63" i="5"/>
  <c r="B40" i="9"/>
  <c r="Z22" i="14"/>
  <c r="B48" i="6"/>
  <c r="O32" i="3"/>
  <c r="P85" i="2"/>
  <c r="O85" i="2"/>
  <c r="Q3" i="14"/>
  <c r="B23" i="11"/>
  <c r="B40" i="11" s="1"/>
  <c r="O30" i="2"/>
  <c r="P30" i="2"/>
  <c r="B48" i="11"/>
  <c r="P68" i="3"/>
  <c r="O68" i="3"/>
  <c r="B48" i="10"/>
  <c r="R15" i="14"/>
  <c r="D23" i="10"/>
  <c r="B40" i="10" s="1"/>
  <c r="V26" i="14"/>
  <c r="P66" i="2"/>
  <c r="O66" i="2"/>
  <c r="P66" i="3"/>
  <c r="O66" i="3"/>
  <c r="P84" i="3"/>
  <c r="O84" i="3"/>
  <c r="E76" i="9"/>
  <c r="F76" i="9" s="1"/>
  <c r="F74" i="9" s="1"/>
  <c r="E70" i="12"/>
  <c r="F70" i="12" s="1"/>
  <c r="I70" i="12" s="1"/>
  <c r="B54" i="10"/>
  <c r="T21" i="14"/>
  <c r="X26" i="14"/>
  <c r="V34" i="14"/>
  <c r="D41" i="6"/>
  <c r="P32" i="2"/>
  <c r="B48" i="12"/>
  <c r="Q11" i="14"/>
  <c r="C23" i="11"/>
  <c r="B54" i="12"/>
  <c r="E59" i="2"/>
  <c r="F59" i="2" s="1"/>
  <c r="I59" i="2" s="1"/>
  <c r="E59" i="5"/>
  <c r="D63" i="6"/>
  <c r="E60" i="7"/>
  <c r="F60" i="7" s="1"/>
  <c r="I60" i="7" s="1"/>
  <c r="T3" i="14"/>
  <c r="B23" i="8"/>
  <c r="B48" i="9"/>
  <c r="V15" i="14"/>
  <c r="D23" i="6"/>
  <c r="B40" i="6" s="1"/>
  <c r="O31" i="2"/>
  <c r="P31" i="2"/>
  <c r="B41" i="9"/>
  <c r="P68" i="2"/>
  <c r="O68" i="2"/>
  <c r="B67" i="12"/>
  <c r="J67" i="12" s="1"/>
  <c r="E77" i="12"/>
  <c r="P22" i="14"/>
  <c r="G66" i="3"/>
  <c r="J66" i="3" s="1"/>
  <c r="D57" i="3"/>
  <c r="E65" i="3"/>
  <c r="F65" i="3" s="1"/>
  <c r="G65" i="3" s="1"/>
  <c r="J65" i="3" s="1"/>
  <c r="I66" i="3"/>
  <c r="P85" i="3"/>
  <c r="O85" i="3"/>
  <c r="C57" i="6"/>
  <c r="E77" i="8"/>
  <c r="C57" i="9"/>
  <c r="E60" i="10"/>
  <c r="F60" i="10" s="1"/>
  <c r="I60" i="10" s="1"/>
  <c r="E78" i="10"/>
  <c r="E60" i="11"/>
  <c r="F60" i="11" s="1"/>
  <c r="I60" i="11" s="1"/>
  <c r="D63" i="12"/>
  <c r="B48" i="7"/>
  <c r="B41" i="7"/>
  <c r="B54" i="8"/>
  <c r="S22" i="14"/>
  <c r="P34" i="14"/>
  <c r="D41" i="12"/>
  <c r="O32" i="2"/>
  <c r="P32" i="3"/>
  <c r="I79" i="2"/>
  <c r="P79" i="2"/>
  <c r="O79" i="2"/>
  <c r="E76" i="4"/>
  <c r="F76" i="4" s="1"/>
  <c r="E78" i="5"/>
  <c r="E59" i="6"/>
  <c r="B57" i="6"/>
  <c r="C57" i="7"/>
  <c r="E76" i="7"/>
  <c r="F76" i="7" s="1"/>
  <c r="G76" i="7" s="1"/>
  <c r="E59" i="8"/>
  <c r="F59" i="8" s="1"/>
  <c r="G59" i="8" s="1"/>
  <c r="E78" i="11"/>
  <c r="S7" i="14"/>
  <c r="B41" i="6"/>
  <c r="B54" i="7"/>
  <c r="U22" i="14"/>
  <c r="Z30" i="14"/>
  <c r="C42" i="2"/>
  <c r="T34" i="14"/>
  <c r="D53" i="8"/>
  <c r="P84" i="2"/>
  <c r="O84" i="2"/>
  <c r="E78" i="7"/>
  <c r="E61" i="8"/>
  <c r="F61" i="8" s="1"/>
  <c r="I61" i="8" s="1"/>
  <c r="X22" i="14"/>
  <c r="O29" i="2"/>
  <c r="I66" i="2"/>
  <c r="O65" i="3"/>
  <c r="E72" i="3"/>
  <c r="F72" i="3" s="1"/>
  <c r="G72" i="3" s="1"/>
  <c r="I79" i="3"/>
  <c r="P79" i="3"/>
  <c r="O79" i="3"/>
  <c r="P86" i="3"/>
  <c r="O86" i="3"/>
  <c r="E60" i="4"/>
  <c r="F60" i="4" s="1"/>
  <c r="E71" i="4"/>
  <c r="F71" i="4" s="1"/>
  <c r="E65" i="5"/>
  <c r="F65" i="5" s="1"/>
  <c r="G65" i="5" s="1"/>
  <c r="E77" i="5"/>
  <c r="E70" i="8"/>
  <c r="F70" i="8" s="1"/>
  <c r="I70" i="8" s="1"/>
  <c r="C63" i="10"/>
  <c r="E70" i="10"/>
  <c r="F70" i="10" s="1"/>
  <c r="I70" i="10" s="1"/>
  <c r="E72" i="11"/>
  <c r="F72" i="11" s="1"/>
  <c r="G72" i="11" s="1"/>
  <c r="I72" i="11" s="1"/>
  <c r="E61" i="12"/>
  <c r="F61" i="12" s="1"/>
  <c r="I61" i="12" s="1"/>
  <c r="E76" i="12"/>
  <c r="F76" i="12" s="1"/>
  <c r="F74" i="12" s="1"/>
  <c r="B54" i="6"/>
  <c r="P30" i="3"/>
  <c r="B48" i="8"/>
  <c r="W22" i="14"/>
  <c r="E70" i="9"/>
  <c r="F70" i="9" s="1"/>
  <c r="I70" i="9" s="1"/>
  <c r="V7" i="14"/>
  <c r="T15" i="14"/>
  <c r="D23" i="8"/>
  <c r="P31" i="3"/>
  <c r="O31" i="3"/>
  <c r="P86" i="2"/>
  <c r="O86" i="2"/>
  <c r="C57" i="3"/>
  <c r="E61" i="3"/>
  <c r="F61" i="3" s="1"/>
  <c r="I61" i="3" s="1"/>
  <c r="E71" i="6"/>
  <c r="F71" i="6" s="1"/>
  <c r="I71" i="6" s="1"/>
  <c r="E76" i="8"/>
  <c r="F76" i="8" s="1"/>
  <c r="F74" i="8" s="1"/>
  <c r="E60" i="9"/>
  <c r="F60" i="9" s="1"/>
  <c r="I60" i="9" s="1"/>
  <c r="E70" i="11"/>
  <c r="F70" i="11" s="1"/>
  <c r="I70" i="11" s="1"/>
  <c r="D57" i="12"/>
  <c r="U7" i="14"/>
  <c r="P11" i="14"/>
  <c r="C23" i="12"/>
  <c r="Z15" i="14"/>
  <c r="D23" i="2"/>
  <c r="O29" i="3"/>
  <c r="P29" i="3"/>
  <c r="S11" i="3"/>
  <c r="R11" i="3"/>
  <c r="R15" i="3"/>
  <c r="S15" i="3"/>
  <c r="S19" i="3"/>
  <c r="R19" i="3"/>
  <c r="S18" i="3"/>
  <c r="R18" i="3"/>
  <c r="S13" i="3"/>
  <c r="R13" i="3"/>
  <c r="X11" i="14"/>
  <c r="U15" i="14"/>
  <c r="Y3" i="14"/>
  <c r="R30" i="14"/>
  <c r="S30" i="14"/>
  <c r="W34" i="14"/>
  <c r="E76" i="2"/>
  <c r="F76" i="2" s="1"/>
  <c r="I76" i="2" s="1"/>
  <c r="E77" i="3"/>
  <c r="J67" i="5"/>
  <c r="C63" i="6"/>
  <c r="E77" i="6"/>
  <c r="C57" i="8"/>
  <c r="D63" i="10"/>
  <c r="E69" i="10"/>
  <c r="F69" i="10" s="1"/>
  <c r="I69" i="10" s="1"/>
  <c r="E71" i="10"/>
  <c r="F71" i="10" s="1"/>
  <c r="I71" i="10" s="1"/>
  <c r="U3" i="14"/>
  <c r="Z34" i="14"/>
  <c r="W30" i="14"/>
  <c r="P7" i="14"/>
  <c r="X34" i="14"/>
  <c r="D63" i="2"/>
  <c r="E70" i="3"/>
  <c r="F70" i="3" s="1"/>
  <c r="E78" i="3"/>
  <c r="E59" i="4"/>
  <c r="F59" i="4" s="1"/>
  <c r="E61" i="4"/>
  <c r="F61" i="4" s="1"/>
  <c r="E70" i="6"/>
  <c r="F70" i="6" s="1"/>
  <c r="I70" i="6" s="1"/>
  <c r="B63" i="7"/>
  <c r="C63" i="8"/>
  <c r="I67" i="8"/>
  <c r="C63" i="9"/>
  <c r="E71" i="9"/>
  <c r="F71" i="9" s="1"/>
  <c r="I71" i="9" s="1"/>
  <c r="C63" i="11"/>
  <c r="E71" i="11"/>
  <c r="F71" i="11" s="1"/>
  <c r="I71" i="11" s="1"/>
  <c r="V3" i="14"/>
  <c r="W11" i="14"/>
  <c r="Q30" i="14"/>
  <c r="Y30" i="14"/>
  <c r="P30" i="14"/>
  <c r="X30" i="14"/>
  <c r="W42" i="14"/>
  <c r="X42" i="14" s="1"/>
  <c r="Y42" i="14" s="1"/>
  <c r="Z42" i="14" s="1"/>
  <c r="T30" i="14"/>
  <c r="B57" i="2"/>
  <c r="E60" i="3"/>
  <c r="F60" i="3" s="1"/>
  <c r="I60" i="3" s="1"/>
  <c r="E61" i="5"/>
  <c r="F61" i="5" s="1"/>
  <c r="I61" i="5" s="1"/>
  <c r="E76" i="5"/>
  <c r="F76" i="5" s="1"/>
  <c r="F74" i="5" s="1"/>
  <c r="E61" i="6"/>
  <c r="F61" i="6" s="1"/>
  <c r="I61" i="6" s="1"/>
  <c r="C63" i="7"/>
  <c r="J67" i="7"/>
  <c r="D63" i="11"/>
  <c r="E71" i="12"/>
  <c r="F71" i="12" s="1"/>
  <c r="I71" i="12" s="1"/>
  <c r="R7" i="14"/>
  <c r="Z7" i="14"/>
  <c r="T11" i="14"/>
  <c r="X15" i="14"/>
  <c r="U11" i="14"/>
  <c r="R11" i="14"/>
  <c r="Z11" i="14"/>
  <c r="Q22" i="14"/>
  <c r="Y22" i="14"/>
  <c r="V22" i="14"/>
  <c r="P26" i="14"/>
  <c r="E70" i="2"/>
  <c r="F70" i="2" s="1"/>
  <c r="I70" i="2" s="1"/>
  <c r="C63" i="4"/>
  <c r="B57" i="7"/>
  <c r="D63" i="8"/>
  <c r="D63" i="9"/>
  <c r="E59" i="12"/>
  <c r="Y15" i="14"/>
  <c r="V11" i="14"/>
  <c r="Z26" i="14"/>
  <c r="U30" i="14"/>
  <c r="R34" i="14"/>
  <c r="B63" i="4"/>
  <c r="D63" i="7"/>
  <c r="E77" i="7"/>
  <c r="E61" i="9"/>
  <c r="F61" i="9" s="1"/>
  <c r="I61" i="9" s="1"/>
  <c r="E59" i="10"/>
  <c r="F59" i="10" s="1"/>
  <c r="G59" i="10" s="1"/>
  <c r="E61" i="10"/>
  <c r="F61" i="10" s="1"/>
  <c r="I61" i="10" s="1"/>
  <c r="E77" i="10"/>
  <c r="E59" i="11"/>
  <c r="F59" i="11" s="1"/>
  <c r="G59" i="11" s="1"/>
  <c r="E61" i="11"/>
  <c r="F61" i="11" s="1"/>
  <c r="I61" i="11" s="1"/>
  <c r="C57" i="12"/>
  <c r="S15" i="14"/>
  <c r="U34" i="14"/>
  <c r="E72" i="2"/>
  <c r="F72" i="2" s="1"/>
  <c r="E77" i="2"/>
  <c r="D63" i="3"/>
  <c r="E71" i="3"/>
  <c r="F71" i="3" s="1"/>
  <c r="E60" i="5"/>
  <c r="F60" i="5" s="1"/>
  <c r="I60" i="5" s="1"/>
  <c r="C63" i="5"/>
  <c r="B63" i="6"/>
  <c r="E72" i="7"/>
  <c r="F72" i="7" s="1"/>
  <c r="G72" i="7" s="1"/>
  <c r="E59" i="9"/>
  <c r="F59" i="9" s="1"/>
  <c r="G59" i="9" s="1"/>
  <c r="E77" i="9"/>
  <c r="D57" i="10"/>
  <c r="D57" i="11"/>
  <c r="C63" i="12"/>
  <c r="Y11" i="14"/>
  <c r="P15" i="14"/>
  <c r="R26" i="14"/>
  <c r="E59" i="3"/>
  <c r="F59" i="3" s="1"/>
  <c r="D63" i="4"/>
  <c r="W7" i="14"/>
  <c r="S26" i="14"/>
  <c r="W26" i="14"/>
  <c r="T26" i="14"/>
  <c r="W40" i="14"/>
  <c r="X40" i="14" s="1"/>
  <c r="Y40" i="14" s="1"/>
  <c r="Z40" i="14" s="1"/>
  <c r="E13" i="2"/>
  <c r="G13" i="2" s="1"/>
  <c r="J13" i="2" s="1"/>
  <c r="B9" i="3"/>
  <c r="I14" i="2"/>
  <c r="G14" i="2"/>
  <c r="J14" i="2" s="1"/>
  <c r="B9" i="5"/>
  <c r="E17" i="2"/>
  <c r="G17" i="2" s="1"/>
  <c r="J17" i="2" s="1"/>
  <c r="E68" i="5"/>
  <c r="F68" i="5" s="1"/>
  <c r="G68" i="5" s="1"/>
  <c r="J68" i="5" s="1"/>
  <c r="B63" i="5"/>
  <c r="I12" i="2"/>
  <c r="C9" i="7"/>
  <c r="G14" i="3"/>
  <c r="J14" i="3" s="1"/>
  <c r="E17" i="3"/>
  <c r="G17" i="3" s="1"/>
  <c r="J17" i="3" s="1"/>
  <c r="G18" i="3"/>
  <c r="J18" i="3" s="1"/>
  <c r="D9" i="5"/>
  <c r="E13" i="6"/>
  <c r="G13" i="6" s="1"/>
  <c r="J13" i="6" s="1"/>
  <c r="E11" i="7"/>
  <c r="G11" i="7" s="1"/>
  <c r="J11" i="7" s="1"/>
  <c r="G12" i="8"/>
  <c r="J12" i="8" s="1"/>
  <c r="E19" i="8"/>
  <c r="G19" i="8" s="1"/>
  <c r="J19" i="8" s="1"/>
  <c r="G19" i="5"/>
  <c r="J19" i="5" s="1"/>
  <c r="E12" i="6"/>
  <c r="G12" i="6" s="1"/>
  <c r="J12" i="6" s="1"/>
  <c r="F9" i="7"/>
  <c r="E14" i="7"/>
  <c r="G14" i="8"/>
  <c r="J14" i="8" s="1"/>
  <c r="E18" i="8"/>
  <c r="G18" i="8" s="1"/>
  <c r="J18" i="8" s="1"/>
  <c r="J67" i="10"/>
  <c r="I67" i="10"/>
  <c r="I18" i="2"/>
  <c r="E13" i="4"/>
  <c r="G13" i="4" s="1"/>
  <c r="J13" i="4" s="1"/>
  <c r="E18" i="5"/>
  <c r="G18" i="5" s="1"/>
  <c r="J18" i="5" s="1"/>
  <c r="G14" i="6"/>
  <c r="J14" i="6" s="1"/>
  <c r="E18" i="6"/>
  <c r="G18" i="6" s="1"/>
  <c r="J18" i="6" s="1"/>
  <c r="E15" i="7"/>
  <c r="G15" i="7" s="1"/>
  <c r="J15" i="7" s="1"/>
  <c r="E11" i="8"/>
  <c r="G11" i="8" s="1"/>
  <c r="I14" i="8"/>
  <c r="E18" i="9"/>
  <c r="G18" i="9" s="1"/>
  <c r="J18" i="9" s="1"/>
  <c r="E12" i="10"/>
  <c r="G18" i="11"/>
  <c r="J18" i="11" s="1"/>
  <c r="C9" i="4"/>
  <c r="F9" i="5"/>
  <c r="C9" i="8"/>
  <c r="E11" i="10"/>
  <c r="G11" i="10" s="1"/>
  <c r="J11" i="10" s="1"/>
  <c r="I14" i="3"/>
  <c r="I17" i="3"/>
  <c r="E19" i="3"/>
  <c r="G19" i="3" s="1"/>
  <c r="J19" i="3" s="1"/>
  <c r="D9" i="4"/>
  <c r="G16" i="5"/>
  <c r="J16" i="5" s="1"/>
  <c r="E17" i="5"/>
  <c r="G17" i="5" s="1"/>
  <c r="J17" i="5" s="1"/>
  <c r="E69" i="5"/>
  <c r="F69" i="5" s="1"/>
  <c r="I69" i="5" s="1"/>
  <c r="E17" i="6"/>
  <c r="G17" i="6" s="1"/>
  <c r="J17" i="6" s="1"/>
  <c r="J67" i="6"/>
  <c r="G14" i="7"/>
  <c r="J14" i="7" s="1"/>
  <c r="E19" i="7"/>
  <c r="G19" i="7" s="1"/>
  <c r="J19" i="7" s="1"/>
  <c r="D9" i="8"/>
  <c r="D9" i="9"/>
  <c r="F9" i="4"/>
  <c r="E14" i="5"/>
  <c r="I11" i="6"/>
  <c r="I9" i="6" s="1"/>
  <c r="E16" i="6"/>
  <c r="G16" i="6" s="1"/>
  <c r="J16" i="6" s="1"/>
  <c r="F9" i="8"/>
  <c r="E15" i="8"/>
  <c r="G15" i="8" s="1"/>
  <c r="J15" i="8" s="1"/>
  <c r="C9" i="11"/>
  <c r="E15" i="12"/>
  <c r="G15" i="12" s="1"/>
  <c r="J15" i="12" s="1"/>
  <c r="D9" i="2"/>
  <c r="F9" i="3"/>
  <c r="E13" i="3"/>
  <c r="G13" i="3" s="1"/>
  <c r="J13" i="3" s="1"/>
  <c r="E17" i="4"/>
  <c r="G17" i="4" s="1"/>
  <c r="J17" i="4" s="1"/>
  <c r="E69" i="4"/>
  <c r="F69" i="4" s="1"/>
  <c r="E15" i="5"/>
  <c r="G15" i="5" s="1"/>
  <c r="J15" i="5" s="1"/>
  <c r="I67" i="5"/>
  <c r="E16" i="8"/>
  <c r="G16" i="8" s="1"/>
  <c r="J16" i="8" s="1"/>
  <c r="E69" i="12"/>
  <c r="F69" i="12" s="1"/>
  <c r="I69" i="12" s="1"/>
  <c r="E13" i="10"/>
  <c r="G13" i="10" s="1"/>
  <c r="J13" i="10" s="1"/>
  <c r="G14" i="11"/>
  <c r="J14" i="11" s="1"/>
  <c r="G11" i="12"/>
  <c r="J11" i="12" s="1"/>
  <c r="G12" i="12"/>
  <c r="J12" i="12" s="1"/>
  <c r="G18" i="12"/>
  <c r="J18" i="12" s="1"/>
  <c r="E12" i="9"/>
  <c r="G12" i="9" s="1"/>
  <c r="J12" i="9" s="1"/>
  <c r="E19" i="9"/>
  <c r="G19" i="9" s="1"/>
  <c r="J19" i="9" s="1"/>
  <c r="B63" i="10"/>
  <c r="E11" i="11"/>
  <c r="G11" i="11" s="1"/>
  <c r="E12" i="11"/>
  <c r="G12" i="11" s="1"/>
  <c r="J12" i="11" s="1"/>
  <c r="C9" i="12"/>
  <c r="D9" i="12"/>
  <c r="E27" i="12"/>
  <c r="C9" i="9"/>
  <c r="E16" i="9"/>
  <c r="G16" i="9" s="1"/>
  <c r="J16" i="9" s="1"/>
  <c r="F9" i="11"/>
  <c r="F9" i="12"/>
  <c r="B63" i="8"/>
  <c r="F9" i="10"/>
  <c r="G15" i="10"/>
  <c r="J15" i="10" s="1"/>
  <c r="E15" i="11"/>
  <c r="G15" i="11" s="1"/>
  <c r="J15" i="11" s="1"/>
  <c r="E16" i="11"/>
  <c r="G16" i="11" s="1"/>
  <c r="J16" i="11" s="1"/>
  <c r="F9" i="9"/>
  <c r="E27" i="10"/>
  <c r="B63" i="11"/>
  <c r="G19" i="12"/>
  <c r="J19" i="12" s="1"/>
  <c r="E19" i="11"/>
  <c r="G19" i="11" s="1"/>
  <c r="J19" i="11" s="1"/>
  <c r="P3" i="14"/>
  <c r="V30" i="14"/>
  <c r="S34" i="14"/>
  <c r="R3" i="14"/>
  <c r="Z3" i="14"/>
  <c r="X7" i="14"/>
  <c r="Q26" i="14"/>
  <c r="Y26" i="14"/>
  <c r="S3" i="14"/>
  <c r="Q15" i="14"/>
  <c r="T22" i="14"/>
  <c r="W3" i="14"/>
  <c r="W15" i="14"/>
  <c r="U26" i="14"/>
  <c r="Q34" i="14"/>
  <c r="Y34" i="14"/>
  <c r="X3" i="14"/>
  <c r="S11" i="14"/>
  <c r="T7" i="14"/>
  <c r="U21" i="14"/>
  <c r="R21" i="14"/>
  <c r="Z21" i="14"/>
  <c r="I86" i="12"/>
  <c r="G86" i="12"/>
  <c r="J86" i="12" s="1"/>
  <c r="I66" i="12"/>
  <c r="G66" i="12"/>
  <c r="J66" i="12" s="1"/>
  <c r="I84" i="12"/>
  <c r="G84" i="12"/>
  <c r="I85" i="12"/>
  <c r="G85" i="12"/>
  <c r="J85" i="12" s="1"/>
  <c r="B9" i="12"/>
  <c r="B57" i="12"/>
  <c r="G68" i="12"/>
  <c r="J68" i="12" s="1"/>
  <c r="I11" i="12"/>
  <c r="I9" i="12" s="1"/>
  <c r="E65" i="12"/>
  <c r="F65" i="12" s="1"/>
  <c r="E72" i="12"/>
  <c r="F72" i="12" s="1"/>
  <c r="G72" i="12" s="1"/>
  <c r="E13" i="12"/>
  <c r="G13" i="12" s="1"/>
  <c r="J13" i="12" s="1"/>
  <c r="E17" i="12"/>
  <c r="G17" i="12" s="1"/>
  <c r="J17" i="12" s="1"/>
  <c r="E87" i="12"/>
  <c r="F87" i="12" s="1"/>
  <c r="I87" i="12" s="1"/>
  <c r="E14" i="12"/>
  <c r="I85" i="11"/>
  <c r="G85" i="11"/>
  <c r="J85" i="11" s="1"/>
  <c r="I86" i="11"/>
  <c r="G86" i="11"/>
  <c r="J86" i="11" s="1"/>
  <c r="I66" i="11"/>
  <c r="G66" i="11"/>
  <c r="J67" i="11"/>
  <c r="I67" i="11"/>
  <c r="E67" i="11"/>
  <c r="F67" i="11" s="1"/>
  <c r="I84" i="11"/>
  <c r="G84" i="11"/>
  <c r="J84" i="11" s="1"/>
  <c r="G68" i="11"/>
  <c r="J68" i="11" s="1"/>
  <c r="I11" i="11"/>
  <c r="I9" i="11" s="1"/>
  <c r="C57" i="11"/>
  <c r="E65" i="11"/>
  <c r="F65" i="11" s="1"/>
  <c r="E13" i="11"/>
  <c r="E17" i="11"/>
  <c r="G17" i="11" s="1"/>
  <c r="J17" i="11" s="1"/>
  <c r="E87" i="11"/>
  <c r="F87" i="11" s="1"/>
  <c r="I87" i="11" s="1"/>
  <c r="B9" i="11"/>
  <c r="I85" i="10"/>
  <c r="G85" i="10"/>
  <c r="J85" i="10" s="1"/>
  <c r="G66" i="10"/>
  <c r="I66" i="10"/>
  <c r="I68" i="10"/>
  <c r="G68" i="10"/>
  <c r="J68" i="10" s="1"/>
  <c r="I86" i="10"/>
  <c r="G86" i="10"/>
  <c r="J86" i="10" s="1"/>
  <c r="G16" i="10"/>
  <c r="J16" i="10" s="1"/>
  <c r="I84" i="10"/>
  <c r="G84" i="10"/>
  <c r="J84" i="10" s="1"/>
  <c r="B9" i="10"/>
  <c r="G19" i="10"/>
  <c r="J19" i="10" s="1"/>
  <c r="B57" i="10"/>
  <c r="E67" i="10"/>
  <c r="F67" i="10" s="1"/>
  <c r="E87" i="10"/>
  <c r="F87" i="10" s="1"/>
  <c r="I87" i="10" s="1"/>
  <c r="I12" i="10"/>
  <c r="E18" i="10"/>
  <c r="G18" i="10" s="1"/>
  <c r="J18" i="10" s="1"/>
  <c r="I85" i="9"/>
  <c r="G85" i="9"/>
  <c r="J85" i="9" s="1"/>
  <c r="I86" i="9"/>
  <c r="G86" i="9"/>
  <c r="J86" i="9" s="1"/>
  <c r="I66" i="9"/>
  <c r="G66" i="9"/>
  <c r="I84" i="9"/>
  <c r="G84" i="9"/>
  <c r="I68" i="9"/>
  <c r="G68" i="9"/>
  <c r="J68" i="9" s="1"/>
  <c r="B9" i="9"/>
  <c r="G11" i="9"/>
  <c r="G15" i="9"/>
  <c r="J15" i="9" s="1"/>
  <c r="B57" i="9"/>
  <c r="I11" i="9"/>
  <c r="I9" i="9" s="1"/>
  <c r="E65" i="9"/>
  <c r="F65" i="9" s="1"/>
  <c r="E13" i="9"/>
  <c r="E17" i="9"/>
  <c r="G17" i="9" s="1"/>
  <c r="J17" i="9" s="1"/>
  <c r="D57" i="9"/>
  <c r="E87" i="9"/>
  <c r="F87" i="9" s="1"/>
  <c r="I87" i="9" s="1"/>
  <c r="I86" i="8"/>
  <c r="G86" i="8"/>
  <c r="J86" i="8" s="1"/>
  <c r="I85" i="8"/>
  <c r="G85" i="8"/>
  <c r="J85" i="8" s="1"/>
  <c r="I66" i="8"/>
  <c r="G66" i="8"/>
  <c r="J66" i="8" s="1"/>
  <c r="I84" i="8"/>
  <c r="G84" i="8"/>
  <c r="J84" i="8" s="1"/>
  <c r="I11" i="8"/>
  <c r="B57" i="8"/>
  <c r="E67" i="8"/>
  <c r="G68" i="8"/>
  <c r="J68" i="8" s="1"/>
  <c r="E13" i="8"/>
  <c r="E17" i="8"/>
  <c r="G17" i="8" s="1"/>
  <c r="J17" i="8" s="1"/>
  <c r="E65" i="8"/>
  <c r="F65" i="8" s="1"/>
  <c r="E72" i="8"/>
  <c r="F72" i="8" s="1"/>
  <c r="G72" i="8" s="1"/>
  <c r="E87" i="8"/>
  <c r="F87" i="8" s="1"/>
  <c r="I87" i="8" s="1"/>
  <c r="J67" i="8"/>
  <c r="I86" i="7"/>
  <c r="G86" i="7"/>
  <c r="J86" i="7" s="1"/>
  <c r="I85" i="7"/>
  <c r="G85" i="7"/>
  <c r="J85" i="7" s="1"/>
  <c r="I66" i="7"/>
  <c r="G66" i="7"/>
  <c r="I84" i="7"/>
  <c r="G84" i="7"/>
  <c r="I68" i="7"/>
  <c r="G68" i="7"/>
  <c r="J68" i="7" s="1"/>
  <c r="B9" i="7"/>
  <c r="E12" i="7"/>
  <c r="E16" i="7"/>
  <c r="G16" i="7" s="1"/>
  <c r="J16" i="7" s="1"/>
  <c r="E67" i="7"/>
  <c r="F67" i="7" s="1"/>
  <c r="E71" i="7"/>
  <c r="F71" i="7" s="1"/>
  <c r="I71" i="7" s="1"/>
  <c r="M80" i="7"/>
  <c r="I11" i="7"/>
  <c r="I9" i="7" s="1"/>
  <c r="E65" i="7"/>
  <c r="F65" i="7" s="1"/>
  <c r="D9" i="7"/>
  <c r="E13" i="7"/>
  <c r="G13" i="7" s="1"/>
  <c r="J13" i="7" s="1"/>
  <c r="E17" i="7"/>
  <c r="G17" i="7" s="1"/>
  <c r="J17" i="7" s="1"/>
  <c r="D57" i="7"/>
  <c r="E87" i="7"/>
  <c r="F87" i="7" s="1"/>
  <c r="I87" i="7" s="1"/>
  <c r="I67" i="7"/>
  <c r="E18" i="7"/>
  <c r="G18" i="7" s="1"/>
  <c r="J18" i="7" s="1"/>
  <c r="I85" i="6"/>
  <c r="G85" i="6"/>
  <c r="J85" i="6" s="1"/>
  <c r="G68" i="6"/>
  <c r="J68" i="6" s="1"/>
  <c r="I68" i="6"/>
  <c r="I86" i="6"/>
  <c r="G86" i="6"/>
  <c r="J86" i="6" s="1"/>
  <c r="I84" i="6"/>
  <c r="G84" i="6"/>
  <c r="J84" i="6" s="1"/>
  <c r="E69" i="6"/>
  <c r="F69" i="6" s="1"/>
  <c r="I69" i="6" s="1"/>
  <c r="E65" i="6"/>
  <c r="F65" i="6" s="1"/>
  <c r="G66" i="6"/>
  <c r="J66" i="6" s="1"/>
  <c r="E72" i="6"/>
  <c r="F72" i="6" s="1"/>
  <c r="G72" i="6" s="1"/>
  <c r="E87" i="6"/>
  <c r="F87" i="6" s="1"/>
  <c r="I87" i="6" s="1"/>
  <c r="G11" i="6"/>
  <c r="D57" i="6"/>
  <c r="I66" i="6"/>
  <c r="E67" i="6"/>
  <c r="F67" i="6" s="1"/>
  <c r="J65" i="5"/>
  <c r="I86" i="5"/>
  <c r="G86" i="5"/>
  <c r="J86" i="5" s="1"/>
  <c r="I84" i="5"/>
  <c r="G84" i="5"/>
  <c r="J84" i="5" s="1"/>
  <c r="G11" i="5"/>
  <c r="I85" i="5"/>
  <c r="G85" i="5"/>
  <c r="J85" i="5" s="1"/>
  <c r="E13" i="5"/>
  <c r="G13" i="5" s="1"/>
  <c r="J13" i="5" s="1"/>
  <c r="D57" i="5"/>
  <c r="G66" i="5"/>
  <c r="J66" i="5" s="1"/>
  <c r="E72" i="5"/>
  <c r="F72" i="5" s="1"/>
  <c r="G72" i="5" s="1"/>
  <c r="I12" i="5"/>
  <c r="I9" i="5" s="1"/>
  <c r="I66" i="5"/>
  <c r="E87" i="5"/>
  <c r="F87" i="5" s="1"/>
  <c r="I87" i="5" s="1"/>
  <c r="I86" i="4"/>
  <c r="G86" i="4"/>
  <c r="J86" i="4" s="1"/>
  <c r="I84" i="4"/>
  <c r="G84" i="4"/>
  <c r="J84" i="4" s="1"/>
  <c r="G68" i="4"/>
  <c r="J68" i="4" s="1"/>
  <c r="I68" i="4"/>
  <c r="S68" i="19" s="1"/>
  <c r="I85" i="4"/>
  <c r="G85" i="4"/>
  <c r="J85" i="4" s="1"/>
  <c r="D57" i="4"/>
  <c r="G66" i="4"/>
  <c r="J66" i="4" s="1"/>
  <c r="E72" i="4"/>
  <c r="F72" i="4" s="1"/>
  <c r="B9" i="4"/>
  <c r="G11" i="4"/>
  <c r="E12" i="4"/>
  <c r="G12" i="4" s="1"/>
  <c r="J12" i="4" s="1"/>
  <c r="E16" i="4"/>
  <c r="G16" i="4" s="1"/>
  <c r="J16" i="4" s="1"/>
  <c r="I66" i="4"/>
  <c r="I67" i="4"/>
  <c r="E87" i="4"/>
  <c r="F87" i="4" s="1"/>
  <c r="I12" i="4"/>
  <c r="I9" i="4" s="1"/>
  <c r="E11" i="3"/>
  <c r="C9" i="3"/>
  <c r="I68" i="3"/>
  <c r="G68" i="3"/>
  <c r="J68" i="3" s="1"/>
  <c r="I86" i="3"/>
  <c r="G86" i="3"/>
  <c r="J86" i="3" s="1"/>
  <c r="I84" i="3"/>
  <c r="G84" i="3"/>
  <c r="J84" i="3" s="1"/>
  <c r="I85" i="3"/>
  <c r="G85" i="3"/>
  <c r="J85" i="3" s="1"/>
  <c r="C63" i="3"/>
  <c r="I12" i="3"/>
  <c r="I16" i="3"/>
  <c r="B57" i="3"/>
  <c r="E76" i="3"/>
  <c r="F76" i="3" s="1"/>
  <c r="I80" i="3"/>
  <c r="E87" i="3"/>
  <c r="F87" i="3" s="1"/>
  <c r="J80" i="3"/>
  <c r="I13" i="2"/>
  <c r="I17" i="2"/>
  <c r="E69" i="2"/>
  <c r="F69" i="2" s="1"/>
  <c r="I11" i="2"/>
  <c r="F9" i="2"/>
  <c r="E15" i="2"/>
  <c r="E19" i="2"/>
  <c r="G19" i="2" s="1"/>
  <c r="J19" i="2" s="1"/>
  <c r="I15" i="2"/>
  <c r="E61" i="2"/>
  <c r="F61" i="2" s="1"/>
  <c r="D57" i="2"/>
  <c r="E65" i="2"/>
  <c r="F65" i="2" s="1"/>
  <c r="I65" i="2" s="1"/>
  <c r="G66" i="2"/>
  <c r="J66" i="2" s="1"/>
  <c r="G11" i="2"/>
  <c r="I19" i="2"/>
  <c r="C63" i="2"/>
  <c r="I68" i="2"/>
  <c r="R68" i="19" s="1"/>
  <c r="B9" i="2"/>
  <c r="C9" i="2"/>
  <c r="J23" i="2"/>
  <c r="G68" i="2"/>
  <c r="J68" i="2" s="1"/>
  <c r="I85" i="2"/>
  <c r="G85" i="2"/>
  <c r="J85" i="2" s="1"/>
  <c r="G84" i="2"/>
  <c r="J84" i="2" s="1"/>
  <c r="G86" i="2"/>
  <c r="J86" i="2" s="1"/>
  <c r="E71" i="2"/>
  <c r="F71" i="2" s="1"/>
  <c r="I84" i="2"/>
  <c r="I86" i="2"/>
  <c r="I80" i="2"/>
  <c r="P65" i="3" l="1"/>
  <c r="I65" i="4"/>
  <c r="I65" i="3"/>
  <c r="I65" i="8"/>
  <c r="G65" i="8"/>
  <c r="J65" i="8" s="1"/>
  <c r="G65" i="10"/>
  <c r="J65" i="10" s="1"/>
  <c r="I65" i="10"/>
  <c r="I65" i="6"/>
  <c r="G65" i="6"/>
  <c r="J65" i="6" s="1"/>
  <c r="G65" i="11"/>
  <c r="J65" i="11" s="1"/>
  <c r="I65" i="11"/>
  <c r="I63" i="11" s="1"/>
  <c r="O65" i="2"/>
  <c r="O65" i="19"/>
  <c r="G65" i="2"/>
  <c r="I65" i="7"/>
  <c r="G65" i="7"/>
  <c r="J65" i="7" s="1"/>
  <c r="I65" i="9"/>
  <c r="G65" i="9"/>
  <c r="J65" i="9" s="1"/>
  <c r="P65" i="2"/>
  <c r="P65" i="19"/>
  <c r="I65" i="12"/>
  <c r="G65" i="12"/>
  <c r="J65" i="12" s="1"/>
  <c r="I65" i="5"/>
  <c r="S19" i="19"/>
  <c r="R19" i="19"/>
  <c r="S12" i="19"/>
  <c r="R12" i="19"/>
  <c r="S11" i="19"/>
  <c r="R11" i="19"/>
  <c r="R17" i="19"/>
  <c r="S17" i="19"/>
  <c r="S13" i="19"/>
  <c r="R13" i="19"/>
  <c r="S18" i="19"/>
  <c r="R18" i="19"/>
  <c r="R14" i="19"/>
  <c r="S14" i="19"/>
  <c r="S15" i="19"/>
  <c r="R15" i="19"/>
  <c r="G59" i="7"/>
  <c r="J59" i="7" s="1"/>
  <c r="G69" i="11"/>
  <c r="J69" i="11" s="1"/>
  <c r="B54" i="2"/>
  <c r="B48" i="4"/>
  <c r="B63" i="12"/>
  <c r="S59" i="19"/>
  <c r="R59" i="19"/>
  <c r="S60" i="19"/>
  <c r="R60" i="19"/>
  <c r="S85" i="19"/>
  <c r="R85" i="19"/>
  <c r="S70" i="19"/>
  <c r="R70" i="19"/>
  <c r="S66" i="19"/>
  <c r="R66" i="19"/>
  <c r="S84" i="19"/>
  <c r="R84" i="19"/>
  <c r="S65" i="19"/>
  <c r="R65" i="19"/>
  <c r="G71" i="5"/>
  <c r="J71" i="5" s="1"/>
  <c r="S76" i="19"/>
  <c r="R76" i="19"/>
  <c r="R79" i="19"/>
  <c r="S79" i="19"/>
  <c r="R86" i="19"/>
  <c r="S86" i="19"/>
  <c r="P9" i="19"/>
  <c r="O9" i="19"/>
  <c r="B48" i="2"/>
  <c r="B41" i="2"/>
  <c r="B48" i="3"/>
  <c r="I70" i="4"/>
  <c r="O70" i="19"/>
  <c r="P70" i="19"/>
  <c r="O30" i="19"/>
  <c r="I30" i="19"/>
  <c r="P30" i="19"/>
  <c r="E55" i="19"/>
  <c r="C51" i="19"/>
  <c r="F55" i="19"/>
  <c r="I31" i="19"/>
  <c r="O31" i="19"/>
  <c r="P31" i="19"/>
  <c r="E24" i="19"/>
  <c r="F24" i="19"/>
  <c r="B48" i="19"/>
  <c r="O29" i="19"/>
  <c r="P29" i="19"/>
  <c r="F27" i="19"/>
  <c r="I29" i="19"/>
  <c r="I69" i="4"/>
  <c r="O69" i="19"/>
  <c r="P69" i="19"/>
  <c r="F74" i="4"/>
  <c r="P76" i="19"/>
  <c r="O76" i="19"/>
  <c r="O67" i="19"/>
  <c r="P67" i="19"/>
  <c r="B54" i="19"/>
  <c r="G31" i="19"/>
  <c r="J31" i="19" s="1"/>
  <c r="B48" i="5"/>
  <c r="D36" i="19"/>
  <c r="B41" i="19"/>
  <c r="C21" i="19"/>
  <c r="G29" i="19"/>
  <c r="B27" i="19"/>
  <c r="I71" i="4"/>
  <c r="P71" i="19"/>
  <c r="O71" i="19"/>
  <c r="P32" i="19"/>
  <c r="O32" i="19"/>
  <c r="I32" i="19"/>
  <c r="G72" i="4"/>
  <c r="J72" i="4" s="1"/>
  <c r="O72" i="19"/>
  <c r="P72" i="19"/>
  <c r="G30" i="19"/>
  <c r="J30" i="19" s="1"/>
  <c r="G32" i="19"/>
  <c r="J32" i="19" s="1"/>
  <c r="I61" i="4"/>
  <c r="S61" i="3" s="1"/>
  <c r="O61" i="19"/>
  <c r="P61" i="19"/>
  <c r="I60" i="4"/>
  <c r="S60" i="3" s="1"/>
  <c r="O60" i="19"/>
  <c r="P60" i="19"/>
  <c r="D27" i="19"/>
  <c r="I87" i="4"/>
  <c r="P87" i="19"/>
  <c r="O87" i="19"/>
  <c r="P59" i="19"/>
  <c r="O59" i="19"/>
  <c r="F49" i="19"/>
  <c r="C45" i="19"/>
  <c r="E49" i="19"/>
  <c r="B21" i="19"/>
  <c r="E23" i="19"/>
  <c r="B40" i="19"/>
  <c r="E25" i="19"/>
  <c r="F25" i="19"/>
  <c r="I42" i="19"/>
  <c r="J72" i="9"/>
  <c r="G70" i="4"/>
  <c r="J70" i="4" s="1"/>
  <c r="J72" i="10"/>
  <c r="G71" i="10"/>
  <c r="J71" i="10" s="1"/>
  <c r="J72" i="11"/>
  <c r="G61" i="3"/>
  <c r="J61" i="3" s="1"/>
  <c r="E57" i="5"/>
  <c r="F59" i="5"/>
  <c r="G59" i="5" s="1"/>
  <c r="J59" i="5" s="1"/>
  <c r="I76" i="11"/>
  <c r="I74" i="11" s="1"/>
  <c r="F63" i="11"/>
  <c r="G67" i="5"/>
  <c r="G61" i="10"/>
  <c r="J61" i="10" s="1"/>
  <c r="G71" i="11"/>
  <c r="J71" i="11" s="1"/>
  <c r="E57" i="10"/>
  <c r="G70" i="11"/>
  <c r="J70" i="11" s="1"/>
  <c r="G59" i="2"/>
  <c r="J59" i="2" s="1"/>
  <c r="G71" i="6"/>
  <c r="J71" i="6" s="1"/>
  <c r="G69" i="8"/>
  <c r="J69" i="8" s="1"/>
  <c r="G69" i="9"/>
  <c r="J69" i="9" s="1"/>
  <c r="E57" i="7"/>
  <c r="I76" i="4"/>
  <c r="G61" i="7"/>
  <c r="J61" i="7" s="1"/>
  <c r="I57" i="7"/>
  <c r="G76" i="11"/>
  <c r="G61" i="8"/>
  <c r="J61" i="8" s="1"/>
  <c r="G61" i="9"/>
  <c r="J61" i="9" s="1"/>
  <c r="G76" i="2"/>
  <c r="J76" i="2" s="1"/>
  <c r="J74" i="2" s="1"/>
  <c r="I76" i="5"/>
  <c r="I74" i="5" s="1"/>
  <c r="F57" i="7"/>
  <c r="E57" i="12"/>
  <c r="E57" i="6"/>
  <c r="G76" i="4"/>
  <c r="B54" i="3"/>
  <c r="B63" i="2"/>
  <c r="E9" i="9"/>
  <c r="G67" i="4"/>
  <c r="E67" i="2"/>
  <c r="F67" i="2" s="1"/>
  <c r="O67" i="2" s="1"/>
  <c r="I9" i="8"/>
  <c r="I67" i="2"/>
  <c r="R80" i="3"/>
  <c r="S80" i="3"/>
  <c r="B63" i="3"/>
  <c r="J67" i="3"/>
  <c r="E67" i="3"/>
  <c r="F67" i="3" s="1"/>
  <c r="O67" i="3" s="1"/>
  <c r="G70" i="2"/>
  <c r="J70" i="2" s="1"/>
  <c r="R80" i="2"/>
  <c r="S80" i="2"/>
  <c r="P60" i="2"/>
  <c r="B54" i="5"/>
  <c r="O60" i="2"/>
  <c r="F59" i="6"/>
  <c r="F57" i="6" s="1"/>
  <c r="I76" i="12"/>
  <c r="I74" i="12" s="1"/>
  <c r="E57" i="4"/>
  <c r="I76" i="8"/>
  <c r="I74" i="8" s="1"/>
  <c r="E57" i="8"/>
  <c r="I67" i="12"/>
  <c r="E67" i="12"/>
  <c r="F67" i="12" s="1"/>
  <c r="F63" i="12" s="1"/>
  <c r="G61" i="12"/>
  <c r="J61" i="12" s="1"/>
  <c r="G76" i="12"/>
  <c r="G76" i="8"/>
  <c r="J76" i="8" s="1"/>
  <c r="G70" i="6"/>
  <c r="J70" i="6" s="1"/>
  <c r="G71" i="4"/>
  <c r="J71" i="4" s="1"/>
  <c r="G59" i="3"/>
  <c r="J59" i="3" s="1"/>
  <c r="P59" i="3"/>
  <c r="O59" i="3"/>
  <c r="P71" i="3"/>
  <c r="O71" i="3"/>
  <c r="P70" i="3"/>
  <c r="O70" i="3"/>
  <c r="B40" i="4"/>
  <c r="S68" i="2"/>
  <c r="R68" i="2"/>
  <c r="F57" i="2"/>
  <c r="O61" i="2"/>
  <c r="P61" i="2"/>
  <c r="R68" i="3"/>
  <c r="S68" i="3"/>
  <c r="B41" i="4"/>
  <c r="B40" i="2"/>
  <c r="B41" i="5"/>
  <c r="S86" i="3"/>
  <c r="R86" i="3"/>
  <c r="R66" i="3"/>
  <c r="S66" i="3"/>
  <c r="F82" i="3"/>
  <c r="P87" i="3"/>
  <c r="O87" i="3"/>
  <c r="S86" i="2"/>
  <c r="R86" i="2"/>
  <c r="S60" i="2"/>
  <c r="R60" i="2"/>
  <c r="R84" i="3"/>
  <c r="S84" i="3"/>
  <c r="F63" i="6"/>
  <c r="G61" i="6"/>
  <c r="J61" i="6" s="1"/>
  <c r="G87" i="11"/>
  <c r="J87" i="11" s="1"/>
  <c r="J82" i="11" s="1"/>
  <c r="F59" i="12"/>
  <c r="G59" i="12" s="1"/>
  <c r="J59" i="12" s="1"/>
  <c r="G72" i="2"/>
  <c r="I72" i="2" s="1"/>
  <c r="P72" i="2"/>
  <c r="O72" i="2"/>
  <c r="B41" i="12"/>
  <c r="S79" i="3"/>
  <c r="R79" i="3"/>
  <c r="S85" i="2"/>
  <c r="R85" i="2"/>
  <c r="R84" i="2"/>
  <c r="S84" i="2"/>
  <c r="G87" i="9"/>
  <c r="J87" i="9" s="1"/>
  <c r="G87" i="12"/>
  <c r="J87" i="12" s="1"/>
  <c r="S65" i="2"/>
  <c r="R65" i="2"/>
  <c r="B40" i="5"/>
  <c r="P72" i="3"/>
  <c r="O72" i="3"/>
  <c r="P59" i="2"/>
  <c r="O59" i="2"/>
  <c r="B41" i="3"/>
  <c r="B54" i="4"/>
  <c r="P76" i="3"/>
  <c r="O76" i="3"/>
  <c r="I94" i="2"/>
  <c r="P71" i="2"/>
  <c r="O71" i="2"/>
  <c r="I76" i="9"/>
  <c r="I74" i="9" s="1"/>
  <c r="G71" i="9"/>
  <c r="J71" i="9" s="1"/>
  <c r="F74" i="2"/>
  <c r="P76" i="2"/>
  <c r="O76" i="2"/>
  <c r="B40" i="3"/>
  <c r="S66" i="2"/>
  <c r="R66" i="2"/>
  <c r="E57" i="11"/>
  <c r="P70" i="2"/>
  <c r="O70" i="2"/>
  <c r="O61" i="3"/>
  <c r="P61" i="3"/>
  <c r="B41" i="11"/>
  <c r="G87" i="2"/>
  <c r="J87" i="2" s="1"/>
  <c r="J82" i="2" s="1"/>
  <c r="O87" i="2"/>
  <c r="P87" i="2"/>
  <c r="S85" i="3"/>
  <c r="R85" i="3"/>
  <c r="E57" i="3"/>
  <c r="G76" i="9"/>
  <c r="J76" i="9" s="1"/>
  <c r="J74" i="9" s="1"/>
  <c r="B67" i="9"/>
  <c r="P60" i="3"/>
  <c r="O60" i="3"/>
  <c r="S65" i="3"/>
  <c r="R65" i="3"/>
  <c r="S79" i="2"/>
  <c r="R79" i="2"/>
  <c r="G69" i="3"/>
  <c r="J69" i="3" s="1"/>
  <c r="P69" i="3"/>
  <c r="O69" i="3"/>
  <c r="I9" i="3"/>
  <c r="S12" i="3"/>
  <c r="R12" i="3"/>
  <c r="E63" i="11"/>
  <c r="G67" i="11"/>
  <c r="S17" i="3"/>
  <c r="R17" i="3"/>
  <c r="G67" i="7"/>
  <c r="G69" i="12"/>
  <c r="J69" i="12" s="1"/>
  <c r="P9" i="3"/>
  <c r="O9" i="3"/>
  <c r="R14" i="3"/>
  <c r="S14" i="3"/>
  <c r="E9" i="10"/>
  <c r="S67" i="3"/>
  <c r="R67" i="3"/>
  <c r="S16" i="3"/>
  <c r="R16" i="3"/>
  <c r="S16" i="2"/>
  <c r="R16" i="2"/>
  <c r="R17" i="2"/>
  <c r="S17" i="2"/>
  <c r="S19" i="2"/>
  <c r="R19" i="2"/>
  <c r="S14" i="2"/>
  <c r="R14" i="2"/>
  <c r="R18" i="2"/>
  <c r="S18" i="2"/>
  <c r="S12" i="2"/>
  <c r="R12" i="2"/>
  <c r="S15" i="2"/>
  <c r="R15" i="2"/>
  <c r="E9" i="2"/>
  <c r="R13" i="2"/>
  <c r="S13" i="2"/>
  <c r="S11" i="2"/>
  <c r="R11" i="2"/>
  <c r="O9" i="2"/>
  <c r="P9" i="2"/>
  <c r="P69" i="2"/>
  <c r="O69" i="2"/>
  <c r="I72" i="7"/>
  <c r="I63" i="7" s="1"/>
  <c r="J72" i="7"/>
  <c r="E57" i="9"/>
  <c r="I68" i="5"/>
  <c r="G71" i="7"/>
  <c r="J71" i="7" s="1"/>
  <c r="F82" i="9"/>
  <c r="G76" i="5"/>
  <c r="G61" i="2"/>
  <c r="J61" i="2" s="1"/>
  <c r="G70" i="5"/>
  <c r="J70" i="5" s="1"/>
  <c r="F82" i="7"/>
  <c r="G70" i="8"/>
  <c r="J70" i="8" s="1"/>
  <c r="F63" i="10"/>
  <c r="F82" i="12"/>
  <c r="G87" i="7"/>
  <c r="J87" i="7" s="1"/>
  <c r="F63" i="5"/>
  <c r="E9" i="7"/>
  <c r="G67" i="6"/>
  <c r="I63" i="10"/>
  <c r="G12" i="10"/>
  <c r="J12" i="10" s="1"/>
  <c r="J9" i="10" s="1"/>
  <c r="E63" i="7"/>
  <c r="G67" i="10"/>
  <c r="E9" i="6"/>
  <c r="E63" i="5"/>
  <c r="E9" i="11"/>
  <c r="G69" i="4"/>
  <c r="J69" i="4" s="1"/>
  <c r="G69" i="5"/>
  <c r="J69" i="5" s="1"/>
  <c r="E9" i="4"/>
  <c r="E63" i="10"/>
  <c r="G69" i="2"/>
  <c r="J69" i="2" s="1"/>
  <c r="E9" i="8"/>
  <c r="E9" i="12"/>
  <c r="G71" i="12"/>
  <c r="J71" i="12" s="1"/>
  <c r="J72" i="12"/>
  <c r="I72" i="12"/>
  <c r="J9" i="12"/>
  <c r="G9" i="12"/>
  <c r="I82" i="12"/>
  <c r="J84" i="12"/>
  <c r="G70" i="12"/>
  <c r="J70" i="12" s="1"/>
  <c r="F82" i="11"/>
  <c r="J66" i="11"/>
  <c r="G61" i="11"/>
  <c r="J61" i="11" s="1"/>
  <c r="I82" i="11"/>
  <c r="G13" i="11"/>
  <c r="J13" i="11" s="1"/>
  <c r="J59" i="11"/>
  <c r="F57" i="11"/>
  <c r="I59" i="11"/>
  <c r="I57" i="11" s="1"/>
  <c r="J11" i="11"/>
  <c r="J76" i="10"/>
  <c r="J74" i="10" s="1"/>
  <c r="G74" i="10"/>
  <c r="I9" i="10"/>
  <c r="J59" i="10"/>
  <c r="I82" i="10"/>
  <c r="F57" i="10"/>
  <c r="I59" i="10"/>
  <c r="I57" i="10" s="1"/>
  <c r="F82" i="10"/>
  <c r="G87" i="10"/>
  <c r="J87" i="10" s="1"/>
  <c r="J82" i="10" s="1"/>
  <c r="J66" i="10"/>
  <c r="G70" i="10"/>
  <c r="J70" i="10" s="1"/>
  <c r="F74" i="10"/>
  <c r="I76" i="10"/>
  <c r="G69" i="10"/>
  <c r="J69" i="10" s="1"/>
  <c r="J66" i="9"/>
  <c r="I82" i="9"/>
  <c r="J11" i="9"/>
  <c r="G70" i="9"/>
  <c r="J70" i="9" s="1"/>
  <c r="G13" i="9"/>
  <c r="J13" i="9" s="1"/>
  <c r="J59" i="9"/>
  <c r="J84" i="9"/>
  <c r="F57" i="9"/>
  <c r="I59" i="9"/>
  <c r="I57" i="9" s="1"/>
  <c r="J72" i="8"/>
  <c r="I72" i="8"/>
  <c r="I63" i="8" s="1"/>
  <c r="F67" i="8"/>
  <c r="F63" i="8" s="1"/>
  <c r="E63" i="8"/>
  <c r="G71" i="8"/>
  <c r="J71" i="8" s="1"/>
  <c r="F82" i="8"/>
  <c r="J59" i="8"/>
  <c r="G13" i="8"/>
  <c r="J13" i="8" s="1"/>
  <c r="F57" i="8"/>
  <c r="I59" i="8"/>
  <c r="I57" i="8" s="1"/>
  <c r="J11" i="8"/>
  <c r="G87" i="8"/>
  <c r="J87" i="8" s="1"/>
  <c r="J82" i="8" s="1"/>
  <c r="I82" i="8"/>
  <c r="J76" i="7"/>
  <c r="J74" i="7" s="1"/>
  <c r="G74" i="7"/>
  <c r="F74" i="7"/>
  <c r="I76" i="7"/>
  <c r="J84" i="7"/>
  <c r="G69" i="7"/>
  <c r="J69" i="7" s="1"/>
  <c r="I82" i="7"/>
  <c r="F63" i="7"/>
  <c r="G70" i="7"/>
  <c r="J70" i="7" s="1"/>
  <c r="J66" i="7"/>
  <c r="G12" i="7"/>
  <c r="J72" i="6"/>
  <c r="I72" i="6"/>
  <c r="I82" i="6"/>
  <c r="J76" i="6"/>
  <c r="G74" i="6"/>
  <c r="G69" i="6"/>
  <c r="J69" i="6" s="1"/>
  <c r="I76" i="6"/>
  <c r="F74" i="6"/>
  <c r="E63" i="6"/>
  <c r="G87" i="6"/>
  <c r="J87" i="6" s="1"/>
  <c r="J82" i="6" s="1"/>
  <c r="F82" i="6"/>
  <c r="G9" i="6"/>
  <c r="J11" i="6"/>
  <c r="G87" i="5"/>
  <c r="J87" i="5" s="1"/>
  <c r="J82" i="5" s="1"/>
  <c r="G61" i="5"/>
  <c r="J61" i="5" s="1"/>
  <c r="F82" i="5"/>
  <c r="I82" i="5"/>
  <c r="E9" i="5"/>
  <c r="J72" i="5"/>
  <c r="I72" i="5"/>
  <c r="G9" i="5"/>
  <c r="J11" i="5"/>
  <c r="F63" i="4"/>
  <c r="I59" i="4"/>
  <c r="F57" i="4"/>
  <c r="E63" i="4"/>
  <c r="G87" i="4"/>
  <c r="J87" i="4" s="1"/>
  <c r="J82" i="4" s="1"/>
  <c r="G9" i="4"/>
  <c r="J11" i="4"/>
  <c r="G59" i="4"/>
  <c r="F82" i="4"/>
  <c r="G61" i="4"/>
  <c r="J61" i="4" s="1"/>
  <c r="I69" i="3"/>
  <c r="G11" i="3"/>
  <c r="E9" i="3"/>
  <c r="G87" i="3"/>
  <c r="J87" i="3" s="1"/>
  <c r="J82" i="3" s="1"/>
  <c r="G76" i="3"/>
  <c r="I71" i="3"/>
  <c r="G71" i="3"/>
  <c r="J71" i="3" s="1"/>
  <c r="I70" i="3"/>
  <c r="G70" i="3"/>
  <c r="J70" i="3" s="1"/>
  <c r="J72" i="3"/>
  <c r="I72" i="3"/>
  <c r="I76" i="3"/>
  <c r="F74" i="3"/>
  <c r="I87" i="3"/>
  <c r="I59" i="3"/>
  <c r="F57" i="3"/>
  <c r="I71" i="2"/>
  <c r="G71" i="2"/>
  <c r="J71" i="2" s="1"/>
  <c r="E57" i="2"/>
  <c r="G15" i="2"/>
  <c r="J15" i="2" s="1"/>
  <c r="I74" i="2"/>
  <c r="J11" i="2"/>
  <c r="I87" i="2"/>
  <c r="I61" i="2"/>
  <c r="J65" i="2"/>
  <c r="I9" i="2"/>
  <c r="I69" i="2"/>
  <c r="G9" i="10" l="1"/>
  <c r="I63" i="6"/>
  <c r="R9" i="19"/>
  <c r="S9" i="19"/>
  <c r="I72" i="4"/>
  <c r="I63" i="4" s="1"/>
  <c r="R60" i="3"/>
  <c r="G57" i="9"/>
  <c r="R74" i="19"/>
  <c r="S74" i="19"/>
  <c r="S69" i="19"/>
  <c r="R69" i="19"/>
  <c r="S72" i="19"/>
  <c r="R72" i="19"/>
  <c r="S67" i="2"/>
  <c r="S67" i="19"/>
  <c r="R67" i="19"/>
  <c r="R61" i="19"/>
  <c r="S61" i="19"/>
  <c r="S71" i="19"/>
  <c r="R71" i="19"/>
  <c r="R87" i="19"/>
  <c r="S87" i="19"/>
  <c r="E21" i="19"/>
  <c r="I57" i="4"/>
  <c r="R61" i="3"/>
  <c r="C36" i="19"/>
  <c r="I82" i="4"/>
  <c r="S76" i="2"/>
  <c r="E54" i="19"/>
  <c r="F54" i="19"/>
  <c r="I55" i="19"/>
  <c r="I49" i="19"/>
  <c r="F48" i="19"/>
  <c r="E48" i="19"/>
  <c r="B53" i="19"/>
  <c r="I25" i="19"/>
  <c r="G25" i="19"/>
  <c r="J25" i="19" s="1"/>
  <c r="J91" i="19" s="1"/>
  <c r="G27" i="19"/>
  <c r="J29" i="19"/>
  <c r="J27" i="19" s="1"/>
  <c r="S70" i="2"/>
  <c r="E27" i="19"/>
  <c r="G24" i="19"/>
  <c r="F21" i="19"/>
  <c r="I24" i="19"/>
  <c r="F40" i="19"/>
  <c r="B38" i="19"/>
  <c r="E40" i="19"/>
  <c r="F41" i="19"/>
  <c r="E41" i="19"/>
  <c r="S59" i="2"/>
  <c r="P82" i="19"/>
  <c r="O82" i="19"/>
  <c r="P74" i="19"/>
  <c r="O74" i="19"/>
  <c r="I27" i="19"/>
  <c r="O57" i="19"/>
  <c r="P57" i="19"/>
  <c r="P63" i="19"/>
  <c r="O63" i="19"/>
  <c r="I94" i="11"/>
  <c r="G63" i="11"/>
  <c r="J57" i="3"/>
  <c r="J57" i="10"/>
  <c r="K57" i="10" s="1"/>
  <c r="J82" i="12"/>
  <c r="K82" i="12" s="1"/>
  <c r="F57" i="5"/>
  <c r="I59" i="6"/>
  <c r="I57" i="6" s="1"/>
  <c r="G57" i="10"/>
  <c r="G59" i="6"/>
  <c r="G57" i="6" s="1"/>
  <c r="I59" i="5"/>
  <c r="I57" i="5" s="1"/>
  <c r="G74" i="8"/>
  <c r="I94" i="8"/>
  <c r="E63" i="2"/>
  <c r="J57" i="7"/>
  <c r="K57" i="7" s="1"/>
  <c r="J57" i="12"/>
  <c r="G57" i="7"/>
  <c r="J57" i="8"/>
  <c r="K57" i="8" s="1"/>
  <c r="I63" i="12"/>
  <c r="G67" i="3"/>
  <c r="G63" i="3" s="1"/>
  <c r="F63" i="3"/>
  <c r="O63" i="3" s="1"/>
  <c r="G74" i="2"/>
  <c r="I94" i="5"/>
  <c r="J76" i="11"/>
  <c r="J74" i="11" s="1"/>
  <c r="K74" i="11" s="1"/>
  <c r="G74" i="11"/>
  <c r="J57" i="9"/>
  <c r="K57" i="9" s="1"/>
  <c r="I74" i="4"/>
  <c r="I94" i="4"/>
  <c r="G57" i="8"/>
  <c r="I59" i="12"/>
  <c r="I57" i="12" s="1"/>
  <c r="G57" i="12"/>
  <c r="G57" i="3"/>
  <c r="G74" i="9"/>
  <c r="I94" i="12"/>
  <c r="J76" i="4"/>
  <c r="G74" i="4"/>
  <c r="E63" i="3"/>
  <c r="P67" i="3"/>
  <c r="P67" i="2"/>
  <c r="G67" i="2"/>
  <c r="G63" i="2" s="1"/>
  <c r="F63" i="2"/>
  <c r="P63" i="2" s="1"/>
  <c r="J57" i="2"/>
  <c r="E63" i="12"/>
  <c r="R67" i="2"/>
  <c r="R76" i="2"/>
  <c r="J72" i="2"/>
  <c r="J63" i="2" s="1"/>
  <c r="G82" i="9"/>
  <c r="G63" i="4"/>
  <c r="R70" i="2"/>
  <c r="G82" i="7"/>
  <c r="J82" i="9"/>
  <c r="K82" i="9" s="1"/>
  <c r="K74" i="9"/>
  <c r="I94" i="9"/>
  <c r="J76" i="12"/>
  <c r="G74" i="12"/>
  <c r="J63" i="4"/>
  <c r="G82" i="6"/>
  <c r="J82" i="7"/>
  <c r="K82" i="7" s="1"/>
  <c r="S72" i="2"/>
  <c r="R72" i="2"/>
  <c r="J63" i="8"/>
  <c r="K63" i="8" s="1"/>
  <c r="G82" i="11"/>
  <c r="O57" i="3"/>
  <c r="P57" i="3"/>
  <c r="J63" i="6"/>
  <c r="R59" i="2"/>
  <c r="J57" i="11"/>
  <c r="K57" i="11" s="1"/>
  <c r="F57" i="12"/>
  <c r="J63" i="12"/>
  <c r="B63" i="9"/>
  <c r="J67" i="9"/>
  <c r="J63" i="9" s="1"/>
  <c r="S59" i="3"/>
  <c r="R59" i="3"/>
  <c r="S61" i="2"/>
  <c r="R61" i="2"/>
  <c r="S76" i="3"/>
  <c r="R76" i="3"/>
  <c r="S70" i="3"/>
  <c r="R70" i="3"/>
  <c r="G57" i="11"/>
  <c r="G82" i="12"/>
  <c r="E67" i="9"/>
  <c r="I67" i="9"/>
  <c r="I63" i="9" s="1"/>
  <c r="P57" i="2"/>
  <c r="O57" i="2"/>
  <c r="R87" i="3"/>
  <c r="S87" i="3"/>
  <c r="P74" i="3"/>
  <c r="O74" i="3"/>
  <c r="I57" i="2"/>
  <c r="G82" i="2"/>
  <c r="G57" i="2"/>
  <c r="I82" i="2"/>
  <c r="S87" i="2"/>
  <c r="R87" i="2"/>
  <c r="G82" i="3"/>
  <c r="J63" i="5"/>
  <c r="P74" i="2"/>
  <c r="O74" i="2"/>
  <c r="O82" i="2"/>
  <c r="P82" i="3"/>
  <c r="O82" i="3"/>
  <c r="S71" i="2"/>
  <c r="R71" i="2"/>
  <c r="S72" i="3"/>
  <c r="R72" i="3"/>
  <c r="S71" i="3"/>
  <c r="R71" i="3"/>
  <c r="P82" i="2"/>
  <c r="S9" i="3"/>
  <c r="R9" i="3"/>
  <c r="R69" i="3"/>
  <c r="S69" i="3"/>
  <c r="S69" i="2"/>
  <c r="R69" i="2"/>
  <c r="R9" i="2"/>
  <c r="S9" i="2"/>
  <c r="G82" i="5"/>
  <c r="G82" i="4"/>
  <c r="G63" i="5"/>
  <c r="J57" i="5"/>
  <c r="G57" i="5"/>
  <c r="G63" i="10"/>
  <c r="G74" i="5"/>
  <c r="J76" i="5"/>
  <c r="J63" i="3"/>
  <c r="G82" i="10"/>
  <c r="G63" i="6"/>
  <c r="G67" i="8"/>
  <c r="G63" i="8" s="1"/>
  <c r="G9" i="11"/>
  <c r="I63" i="3"/>
  <c r="G63" i="7"/>
  <c r="G9" i="8"/>
  <c r="G67" i="12"/>
  <c r="G63" i="12" s="1"/>
  <c r="K9" i="12"/>
  <c r="J9" i="11"/>
  <c r="K82" i="11"/>
  <c r="J63" i="11"/>
  <c r="K63" i="11" s="1"/>
  <c r="J63" i="10"/>
  <c r="K63" i="10" s="1"/>
  <c r="J94" i="10"/>
  <c r="I74" i="10"/>
  <c r="I94" i="10"/>
  <c r="K82" i="10"/>
  <c r="K9" i="10"/>
  <c r="J9" i="9"/>
  <c r="G9" i="9"/>
  <c r="J94" i="9"/>
  <c r="J74" i="8"/>
  <c r="J94" i="8"/>
  <c r="K82" i="8"/>
  <c r="G82" i="8"/>
  <c r="J9" i="8"/>
  <c r="J12" i="7"/>
  <c r="G9" i="7"/>
  <c r="I74" i="7"/>
  <c r="I94" i="7"/>
  <c r="J94" i="7"/>
  <c r="J63" i="7"/>
  <c r="K63" i="7" s="1"/>
  <c r="J9" i="6"/>
  <c r="J74" i="6"/>
  <c r="J94" i="6"/>
  <c r="I74" i="6"/>
  <c r="I94" i="6"/>
  <c r="K82" i="6"/>
  <c r="I63" i="5"/>
  <c r="J9" i="5"/>
  <c r="K82" i="5"/>
  <c r="J9" i="4"/>
  <c r="G57" i="4"/>
  <c r="J59" i="4"/>
  <c r="J57" i="4" s="1"/>
  <c r="J76" i="3"/>
  <c r="G74" i="3"/>
  <c r="I57" i="3"/>
  <c r="I74" i="3"/>
  <c r="I94" i="3"/>
  <c r="J11" i="3"/>
  <c r="G9" i="3"/>
  <c r="I82" i="3"/>
  <c r="K74" i="2"/>
  <c r="J9" i="2"/>
  <c r="J94" i="2"/>
  <c r="K94" i="2" s="1"/>
  <c r="I63" i="2"/>
  <c r="G9" i="2"/>
  <c r="K63" i="6" l="1"/>
  <c r="K57" i="4"/>
  <c r="S82" i="19"/>
  <c r="R82" i="19"/>
  <c r="R57" i="19"/>
  <c r="S57" i="19"/>
  <c r="R63" i="19"/>
  <c r="S63" i="19"/>
  <c r="R94" i="19"/>
  <c r="S94" i="19"/>
  <c r="K82" i="4"/>
  <c r="K63" i="4"/>
  <c r="I41" i="19"/>
  <c r="E38" i="19"/>
  <c r="I91" i="19"/>
  <c r="E53" i="19"/>
  <c r="E51" i="19" s="1"/>
  <c r="F53" i="19"/>
  <c r="B51" i="19"/>
  <c r="I40" i="19"/>
  <c r="G40" i="19"/>
  <c r="F38" i="19"/>
  <c r="I54" i="19"/>
  <c r="R74" i="2"/>
  <c r="I92" i="19"/>
  <c r="I21" i="19"/>
  <c r="K27" i="19"/>
  <c r="I48" i="19"/>
  <c r="F6" i="19"/>
  <c r="R94" i="2"/>
  <c r="J24" i="19"/>
  <c r="G21" i="19"/>
  <c r="G6" i="19" s="1"/>
  <c r="B47" i="19"/>
  <c r="J59" i="6"/>
  <c r="J57" i="6" s="1"/>
  <c r="K57" i="6" s="1"/>
  <c r="K94" i="8"/>
  <c r="K57" i="5"/>
  <c r="K63" i="12"/>
  <c r="J94" i="11"/>
  <c r="K94" i="11" s="1"/>
  <c r="K57" i="2"/>
  <c r="P63" i="3"/>
  <c r="S94" i="2"/>
  <c r="K57" i="12"/>
  <c r="J74" i="4"/>
  <c r="K74" i="4" s="1"/>
  <c r="J94" i="4"/>
  <c r="K94" i="4" s="1"/>
  <c r="K63" i="9"/>
  <c r="O63" i="2"/>
  <c r="K94" i="9"/>
  <c r="J74" i="12"/>
  <c r="K74" i="12" s="1"/>
  <c r="J94" i="12"/>
  <c r="K94" i="12" s="1"/>
  <c r="S82" i="2"/>
  <c r="R82" i="2"/>
  <c r="R57" i="2"/>
  <c r="S57" i="2"/>
  <c r="S74" i="2"/>
  <c r="F67" i="9"/>
  <c r="F63" i="9" s="1"/>
  <c r="E63" i="9"/>
  <c r="K82" i="2"/>
  <c r="S57" i="3"/>
  <c r="R57" i="3"/>
  <c r="S82" i="3"/>
  <c r="R82" i="3"/>
  <c r="R74" i="3"/>
  <c r="S74" i="3"/>
  <c r="K63" i="3"/>
  <c r="S63" i="3"/>
  <c r="R63" i="3"/>
  <c r="S94" i="3"/>
  <c r="R94" i="3"/>
  <c r="S63" i="2"/>
  <c r="R63" i="2"/>
  <c r="K94" i="7"/>
  <c r="J74" i="5"/>
  <c r="K74" i="5" s="1"/>
  <c r="J94" i="5"/>
  <c r="K94" i="5" s="1"/>
  <c r="K9" i="11"/>
  <c r="K74" i="10"/>
  <c r="K94" i="10"/>
  <c r="K9" i="9"/>
  <c r="K9" i="8"/>
  <c r="K74" i="8"/>
  <c r="J9" i="7"/>
  <c r="K74" i="7"/>
  <c r="K94" i="6"/>
  <c r="K74" i="6"/>
  <c r="K9" i="6"/>
  <c r="K63" i="5"/>
  <c r="K9" i="5"/>
  <c r="K9" i="4"/>
  <c r="K82" i="3"/>
  <c r="J74" i="3"/>
  <c r="K74" i="3" s="1"/>
  <c r="J94" i="3"/>
  <c r="K94" i="3" s="1"/>
  <c r="J9" i="3"/>
  <c r="K57" i="3"/>
  <c r="K63" i="2"/>
  <c r="K9" i="2"/>
  <c r="K91" i="19" l="1"/>
  <c r="G38" i="19"/>
  <c r="J40" i="19"/>
  <c r="I38" i="19"/>
  <c r="B45" i="19"/>
  <c r="B36" i="19" s="1"/>
  <c r="F47" i="19"/>
  <c r="E47" i="19"/>
  <c r="E45" i="19" s="1"/>
  <c r="E36" i="19" s="1"/>
  <c r="G53" i="19"/>
  <c r="F51" i="19"/>
  <c r="I53" i="19"/>
  <c r="J92" i="19"/>
  <c r="K92" i="19" s="1"/>
  <c r="J21" i="19"/>
  <c r="I6" i="19"/>
  <c r="G67" i="9"/>
  <c r="G63" i="9" s="1"/>
  <c r="K9" i="7"/>
  <c r="K9" i="3"/>
  <c r="G51" i="19" l="1"/>
  <c r="J53" i="19"/>
  <c r="J51" i="19" s="1"/>
  <c r="K21" i="19"/>
  <c r="J6" i="19"/>
  <c r="K6" i="19" s="1"/>
  <c r="J38" i="19"/>
  <c r="K38" i="19" s="1"/>
  <c r="I51" i="19"/>
  <c r="F45" i="19"/>
  <c r="I47" i="19"/>
  <c r="G47" i="19"/>
  <c r="D38" i="2"/>
  <c r="K51" i="19" l="1"/>
  <c r="G45" i="19"/>
  <c r="G36" i="19" s="1"/>
  <c r="G34" i="19" s="1"/>
  <c r="J47" i="19"/>
  <c r="I45" i="19"/>
  <c r="I93" i="19"/>
  <c r="F36" i="19"/>
  <c r="D27" i="2"/>
  <c r="G31" i="2"/>
  <c r="J31" i="2" s="1"/>
  <c r="I31" i="2"/>
  <c r="I32" i="2"/>
  <c r="D45" i="2"/>
  <c r="I29" i="2"/>
  <c r="F27" i="2"/>
  <c r="G30" i="2"/>
  <c r="J30" i="2" s="1"/>
  <c r="C38" i="2"/>
  <c r="E42" i="2"/>
  <c r="F42" i="2"/>
  <c r="I30" i="2"/>
  <c r="C27" i="2"/>
  <c r="D51" i="2"/>
  <c r="S29" i="19" l="1"/>
  <c r="R29" i="19"/>
  <c r="S30" i="19"/>
  <c r="R30" i="19"/>
  <c r="R31" i="19"/>
  <c r="S31" i="19"/>
  <c r="S32" i="19"/>
  <c r="R32" i="19"/>
  <c r="I36" i="19"/>
  <c r="J45" i="19"/>
  <c r="J36" i="19" s="1"/>
  <c r="J34" i="19" s="1"/>
  <c r="J89" i="19" s="1"/>
  <c r="J93" i="19"/>
  <c r="K93" i="19" s="1"/>
  <c r="F34" i="19"/>
  <c r="D36" i="2"/>
  <c r="D21" i="2"/>
  <c r="I42" i="2"/>
  <c r="C21" i="2"/>
  <c r="F55" i="2"/>
  <c r="C51" i="2"/>
  <c r="E55" i="2"/>
  <c r="F49" i="2"/>
  <c r="E49" i="2"/>
  <c r="C45" i="2"/>
  <c r="I27" i="2"/>
  <c r="E27" i="2"/>
  <c r="G29" i="2"/>
  <c r="G32" i="2"/>
  <c r="J32" i="2" s="1"/>
  <c r="B27" i="2"/>
  <c r="S27" i="19" l="1"/>
  <c r="R27" i="19"/>
  <c r="S42" i="19"/>
  <c r="R42" i="19"/>
  <c r="K36" i="19"/>
  <c r="I34" i="19"/>
  <c r="K45" i="19"/>
  <c r="C36" i="2"/>
  <c r="G27" i="2"/>
  <c r="J29" i="2"/>
  <c r="J27" i="2" s="1"/>
  <c r="K27" i="2" s="1"/>
  <c r="I55" i="2"/>
  <c r="I49" i="2"/>
  <c r="S49" i="19" l="1"/>
  <c r="R49" i="19"/>
  <c r="R55" i="19"/>
  <c r="S55" i="19"/>
  <c r="K34" i="19"/>
  <c r="I89" i="19"/>
  <c r="I31" i="6"/>
  <c r="I31" i="8"/>
  <c r="I29" i="6"/>
  <c r="I32" i="6"/>
  <c r="I32" i="8"/>
  <c r="I29" i="5"/>
  <c r="I30" i="7"/>
  <c r="I30" i="9"/>
  <c r="I31" i="7"/>
  <c r="I31" i="9"/>
  <c r="I31" i="5"/>
  <c r="I32" i="7"/>
  <c r="I32" i="9"/>
  <c r="I32" i="5"/>
  <c r="I30" i="8"/>
  <c r="L34" i="19" l="1"/>
  <c r="L74" i="19"/>
  <c r="K89" i="19"/>
  <c r="L9" i="19"/>
  <c r="L57" i="19"/>
  <c r="L82" i="19"/>
  <c r="L63" i="19"/>
  <c r="L27" i="19"/>
  <c r="L21" i="19"/>
  <c r="L6" i="19"/>
  <c r="L38" i="19"/>
  <c r="L51" i="19"/>
  <c r="L45" i="19"/>
  <c r="L36" i="19"/>
  <c r="F27" i="5"/>
  <c r="I30" i="5"/>
  <c r="I27" i="5" s="1"/>
  <c r="F27" i="9"/>
  <c r="I29" i="9"/>
  <c r="I27" i="9" s="1"/>
  <c r="F27" i="8"/>
  <c r="I29" i="8"/>
  <c r="I27" i="8" s="1"/>
  <c r="F27" i="7"/>
  <c r="I29" i="7"/>
  <c r="I27" i="7" s="1"/>
  <c r="F27" i="6"/>
  <c r="I30" i="6"/>
  <c r="I27" i="6" s="1"/>
  <c r="I29" i="3" l="1"/>
  <c r="F27" i="3"/>
  <c r="I30" i="3"/>
  <c r="I31" i="4"/>
  <c r="I32" i="4"/>
  <c r="I31" i="3"/>
  <c r="I32" i="3"/>
  <c r="I30" i="4"/>
  <c r="S31" i="3" l="1"/>
  <c r="R31" i="3"/>
  <c r="S31" i="2"/>
  <c r="R31" i="2"/>
  <c r="R29" i="2"/>
  <c r="S29" i="2"/>
  <c r="S30" i="3"/>
  <c r="R30" i="3"/>
  <c r="S30" i="2"/>
  <c r="R30" i="2"/>
  <c r="S32" i="3"/>
  <c r="R32" i="3"/>
  <c r="R32" i="2"/>
  <c r="S32" i="2"/>
  <c r="I27" i="3"/>
  <c r="F27" i="4"/>
  <c r="I29" i="4"/>
  <c r="I27" i="4" s="1"/>
  <c r="P27" i="3" l="1"/>
  <c r="P27" i="19"/>
  <c r="O27" i="19"/>
  <c r="S27" i="3"/>
  <c r="R27" i="3"/>
  <c r="S27" i="2"/>
  <c r="R27" i="2"/>
  <c r="S29" i="3"/>
  <c r="P27" i="2"/>
  <c r="O27" i="2"/>
  <c r="O27" i="3"/>
  <c r="R29" i="3"/>
  <c r="I31" i="12" l="1"/>
  <c r="I30" i="10"/>
  <c r="I30" i="12"/>
  <c r="I29" i="10"/>
  <c r="F27" i="12" l="1"/>
  <c r="I29" i="12"/>
  <c r="I32" i="12"/>
  <c r="G32" i="12"/>
  <c r="J32" i="12" s="1"/>
  <c r="F27" i="10"/>
  <c r="I31" i="10"/>
  <c r="I32" i="10"/>
  <c r="G32" i="10"/>
  <c r="J32" i="10" s="1"/>
  <c r="I27" i="12" l="1"/>
  <c r="I27" i="10"/>
  <c r="D21" i="3"/>
  <c r="D45" i="3"/>
  <c r="D51" i="3"/>
  <c r="F55" i="3" l="1"/>
  <c r="E55" i="3"/>
  <c r="C51" i="3"/>
  <c r="C21" i="3"/>
  <c r="F42" i="3"/>
  <c r="E42" i="3"/>
  <c r="C38" i="3"/>
  <c r="C45" i="3"/>
  <c r="F49" i="3"/>
  <c r="E49" i="3"/>
  <c r="D38" i="3"/>
  <c r="D36" i="3" s="1"/>
  <c r="G30" i="3"/>
  <c r="J30" i="3" s="1"/>
  <c r="G31" i="3"/>
  <c r="J31" i="3" s="1"/>
  <c r="G29" i="3"/>
  <c r="D27" i="3"/>
  <c r="C27" i="3"/>
  <c r="J29" i="3" l="1"/>
  <c r="I49" i="3"/>
  <c r="C36" i="3"/>
  <c r="B27" i="3"/>
  <c r="I55" i="3"/>
  <c r="I42" i="3"/>
  <c r="G32" i="3"/>
  <c r="J32" i="3" s="1"/>
  <c r="E27" i="3"/>
  <c r="R42" i="2" l="1"/>
  <c r="S42" i="2"/>
  <c r="S55" i="2"/>
  <c r="R55" i="2"/>
  <c r="S49" i="2"/>
  <c r="R49" i="2"/>
  <c r="G27" i="3"/>
  <c r="J27" i="3"/>
  <c r="K27" i="3" s="1"/>
  <c r="C27" i="12" l="1"/>
  <c r="D27" i="12"/>
  <c r="D27" i="10" l="1"/>
  <c r="C27" i="11"/>
  <c r="D27" i="11"/>
  <c r="C27" i="10"/>
  <c r="I32" i="11" l="1"/>
  <c r="G32" i="11"/>
  <c r="J32" i="11" s="1"/>
  <c r="D38" i="4"/>
  <c r="D51" i="4"/>
  <c r="F49" i="4" l="1"/>
  <c r="C45" i="4"/>
  <c r="E49" i="4"/>
  <c r="D21" i="4"/>
  <c r="D45" i="4"/>
  <c r="D36" i="4" s="1"/>
  <c r="E55" i="4"/>
  <c r="F55" i="4"/>
  <c r="C51" i="4"/>
  <c r="C21" i="4"/>
  <c r="F42" i="4"/>
  <c r="C38" i="4"/>
  <c r="E42" i="4"/>
  <c r="O55" i="19" l="1"/>
  <c r="P55" i="19"/>
  <c r="P42" i="19"/>
  <c r="O42" i="19"/>
  <c r="P49" i="19"/>
  <c r="O49" i="19"/>
  <c r="I55" i="4"/>
  <c r="P55" i="2"/>
  <c r="O55" i="2"/>
  <c r="P55" i="3"/>
  <c r="O55" i="3"/>
  <c r="I42" i="4"/>
  <c r="P42" i="2"/>
  <c r="O42" i="2"/>
  <c r="O42" i="3"/>
  <c r="P42" i="3"/>
  <c r="I49" i="4"/>
  <c r="P49" i="2"/>
  <c r="O49" i="2"/>
  <c r="O49" i="3"/>
  <c r="P49" i="3"/>
  <c r="C36" i="4"/>
  <c r="R42" i="3" l="1"/>
  <c r="S42" i="3"/>
  <c r="R49" i="3"/>
  <c r="S49" i="3"/>
  <c r="S55" i="3"/>
  <c r="R55" i="3"/>
  <c r="B27" i="8" l="1"/>
  <c r="G30" i="6" l="1"/>
  <c r="J30" i="6" s="1"/>
  <c r="G30" i="7"/>
  <c r="J30" i="7" s="1"/>
  <c r="G30" i="9"/>
  <c r="J30" i="9" s="1"/>
  <c r="D27" i="4"/>
  <c r="G31" i="9"/>
  <c r="J31" i="9" s="1"/>
  <c r="D27" i="7"/>
  <c r="D27" i="6"/>
  <c r="C27" i="5"/>
  <c r="G31" i="8"/>
  <c r="J31" i="8" s="1"/>
  <c r="G31" i="7"/>
  <c r="J31" i="7" s="1"/>
  <c r="B27" i="6"/>
  <c r="B27" i="4"/>
  <c r="G30" i="5"/>
  <c r="J30" i="5" s="1"/>
  <c r="B27" i="5"/>
  <c r="G30" i="4"/>
  <c r="J30" i="4" s="1"/>
  <c r="G29" i="9"/>
  <c r="C27" i="4"/>
  <c r="D27" i="9"/>
  <c r="B27" i="9"/>
  <c r="G31" i="4"/>
  <c r="J31" i="4" s="1"/>
  <c r="G31" i="6"/>
  <c r="J31" i="6" s="1"/>
  <c r="D27" i="8"/>
  <c r="C27" i="8"/>
  <c r="D27" i="5"/>
  <c r="C27" i="6"/>
  <c r="G30" i="8"/>
  <c r="J30" i="8" s="1"/>
  <c r="G29" i="5"/>
  <c r="C27" i="9"/>
  <c r="B27" i="7"/>
  <c r="C27" i="7"/>
  <c r="J29" i="9" l="1"/>
  <c r="G32" i="7"/>
  <c r="J32" i="7" s="1"/>
  <c r="G29" i="7"/>
  <c r="E27" i="4"/>
  <c r="G29" i="6"/>
  <c r="G31" i="5"/>
  <c r="J31" i="5" s="1"/>
  <c r="G32" i="8"/>
  <c r="J32" i="8" s="1"/>
  <c r="J29" i="5"/>
  <c r="G32" i="6"/>
  <c r="J32" i="6" s="1"/>
  <c r="G32" i="9"/>
  <c r="G29" i="8"/>
  <c r="G29" i="4"/>
  <c r="G32" i="4"/>
  <c r="J32" i="4" s="1"/>
  <c r="G32" i="5"/>
  <c r="J32" i="5" s="1"/>
  <c r="J27" i="5" l="1"/>
  <c r="K27" i="5" s="1"/>
  <c r="E27" i="5"/>
  <c r="G27" i="5"/>
  <c r="E27" i="9"/>
  <c r="J32" i="9"/>
  <c r="J27" i="9" s="1"/>
  <c r="K27" i="9" s="1"/>
  <c r="G27" i="9"/>
  <c r="G27" i="8"/>
  <c r="J29" i="8"/>
  <c r="J27" i="8" s="1"/>
  <c r="K27" i="8" s="1"/>
  <c r="G27" i="6"/>
  <c r="J29" i="6"/>
  <c r="J27" i="6" s="1"/>
  <c r="K27" i="6" s="1"/>
  <c r="E27" i="8"/>
  <c r="E27" i="6"/>
  <c r="G27" i="4"/>
  <c r="J29" i="4"/>
  <c r="J27" i="4" s="1"/>
  <c r="K27" i="4" s="1"/>
  <c r="G27" i="7"/>
  <c r="J29" i="7"/>
  <c r="J27" i="7" s="1"/>
  <c r="K27" i="7" s="1"/>
  <c r="E27" i="7"/>
  <c r="D21" i="5" l="1"/>
  <c r="D45" i="5"/>
  <c r="D38" i="5"/>
  <c r="D51" i="5"/>
  <c r="D36" i="5" l="1"/>
  <c r="F49" i="5"/>
  <c r="I49" i="5" s="1"/>
  <c r="E49" i="5"/>
  <c r="C45" i="5"/>
  <c r="E55" i="5"/>
  <c r="F55" i="5"/>
  <c r="I55" i="5" s="1"/>
  <c r="C51" i="5"/>
  <c r="F42" i="5"/>
  <c r="I42" i="5" s="1"/>
  <c r="E42" i="5"/>
  <c r="C38" i="5"/>
  <c r="C21" i="5"/>
  <c r="C36" i="5" l="1"/>
  <c r="D45" i="6" l="1"/>
  <c r="D38" i="12"/>
  <c r="D38" i="11"/>
  <c r="D38" i="10"/>
  <c r="D38" i="9"/>
  <c r="D38" i="8"/>
  <c r="D38" i="7"/>
  <c r="D38" i="6"/>
  <c r="D45" i="8" l="1"/>
  <c r="D45" i="9"/>
  <c r="D51" i="7"/>
  <c r="D45" i="10"/>
  <c r="F42" i="6"/>
  <c r="I42" i="6" s="1"/>
  <c r="E42" i="6"/>
  <c r="C38" i="6"/>
  <c r="F42" i="12"/>
  <c r="I42" i="12" s="1"/>
  <c r="C38" i="12"/>
  <c r="E42" i="12"/>
  <c r="F42" i="8"/>
  <c r="I42" i="8" s="1"/>
  <c r="C38" i="8"/>
  <c r="E42" i="8"/>
  <c r="C21" i="8"/>
  <c r="D45" i="7"/>
  <c r="F42" i="7"/>
  <c r="I42" i="7" s="1"/>
  <c r="C38" i="7"/>
  <c r="E42" i="7"/>
  <c r="D51" i="10"/>
  <c r="F42" i="9"/>
  <c r="I42" i="9" s="1"/>
  <c r="C38" i="9"/>
  <c r="E42" i="9"/>
  <c r="C21" i="7"/>
  <c r="E49" i="6"/>
  <c r="F49" i="6"/>
  <c r="I49" i="6" s="1"/>
  <c r="C45" i="6"/>
  <c r="D21" i="9"/>
  <c r="D51" i="8"/>
  <c r="D45" i="12"/>
  <c r="D21" i="10"/>
  <c r="D51" i="9"/>
  <c r="D21" i="12"/>
  <c r="C21" i="9"/>
  <c r="D51" i="12"/>
  <c r="E42" i="10"/>
  <c r="F42" i="10"/>
  <c r="I42" i="10" s="1"/>
  <c r="C38" i="10"/>
  <c r="D21" i="6"/>
  <c r="D36" i="10" l="1"/>
  <c r="D36" i="9"/>
  <c r="D21" i="8"/>
  <c r="D36" i="7"/>
  <c r="D36" i="12"/>
  <c r="D21" i="7"/>
  <c r="D51" i="6"/>
  <c r="D36" i="6" s="1"/>
  <c r="F55" i="8"/>
  <c r="I55" i="8" s="1"/>
  <c r="C51" i="8"/>
  <c r="E55" i="8"/>
  <c r="C21" i="11"/>
  <c r="F42" i="11"/>
  <c r="I42" i="11" s="1"/>
  <c r="E42" i="11"/>
  <c r="C38" i="11"/>
  <c r="E49" i="11"/>
  <c r="F49" i="11"/>
  <c r="I49" i="11" s="1"/>
  <c r="C45" i="11"/>
  <c r="C21" i="12"/>
  <c r="D45" i="11"/>
  <c r="F49" i="9"/>
  <c r="I49" i="9" s="1"/>
  <c r="C45" i="9"/>
  <c r="E49" i="9"/>
  <c r="D36" i="8"/>
  <c r="E49" i="12"/>
  <c r="C45" i="12"/>
  <c r="F49" i="12"/>
  <c r="I49" i="12" s="1"/>
  <c r="C45" i="7"/>
  <c r="F49" i="7"/>
  <c r="I49" i="7" s="1"/>
  <c r="E49" i="7"/>
  <c r="E49" i="10"/>
  <c r="F49" i="10"/>
  <c r="I49" i="10" s="1"/>
  <c r="C45" i="10"/>
  <c r="D51" i="11"/>
  <c r="F55" i="6"/>
  <c r="I55" i="6" s="1"/>
  <c r="C51" i="6"/>
  <c r="C36" i="6" s="1"/>
  <c r="E55" i="6"/>
  <c r="C21" i="6"/>
  <c r="C21" i="10"/>
  <c r="E49" i="8"/>
  <c r="F49" i="8"/>
  <c r="I49" i="8" s="1"/>
  <c r="C45" i="8"/>
  <c r="F55" i="11"/>
  <c r="I55" i="11" s="1"/>
  <c r="C51" i="11"/>
  <c r="E55" i="11"/>
  <c r="E55" i="9"/>
  <c r="F55" i="9"/>
  <c r="I55" i="9" s="1"/>
  <c r="C51" i="9"/>
  <c r="F55" i="12"/>
  <c r="I55" i="12" s="1"/>
  <c r="C51" i="12"/>
  <c r="E55" i="12"/>
  <c r="D21" i="11"/>
  <c r="F55" i="7"/>
  <c r="I55" i="7" s="1"/>
  <c r="C51" i="7"/>
  <c r="E55" i="7"/>
  <c r="C36" i="8" l="1"/>
  <c r="C36" i="7"/>
  <c r="C36" i="12"/>
  <c r="C36" i="9"/>
  <c r="F55" i="10"/>
  <c r="I55" i="10" s="1"/>
  <c r="C51" i="10"/>
  <c r="C36" i="10" s="1"/>
  <c r="E55" i="10"/>
  <c r="C36" i="11"/>
  <c r="D36" i="11"/>
  <c r="F24" i="3" l="1"/>
  <c r="E24" i="3"/>
  <c r="G30" i="12" l="1"/>
  <c r="J30" i="12" s="1"/>
  <c r="E23" i="10"/>
  <c r="B21" i="9"/>
  <c r="E23" i="9"/>
  <c r="E23" i="11"/>
  <c r="G31" i="10"/>
  <c r="J31" i="10" s="1"/>
  <c r="B21" i="6"/>
  <c r="B21" i="5"/>
  <c r="F25" i="9"/>
  <c r="B53" i="9" s="1"/>
  <c r="E25" i="9"/>
  <c r="I24" i="3"/>
  <c r="G24" i="3"/>
  <c r="B47" i="3" s="1"/>
  <c r="E23" i="5"/>
  <c r="B21" i="12"/>
  <c r="E23" i="12"/>
  <c r="E23" i="8"/>
  <c r="F23" i="8"/>
  <c r="G29" i="10"/>
  <c r="B27" i="10"/>
  <c r="G30" i="10"/>
  <c r="J30" i="10" s="1"/>
  <c r="G31" i="12"/>
  <c r="J31" i="12" s="1"/>
  <c r="B21" i="11"/>
  <c r="E23" i="6"/>
  <c r="E25" i="3"/>
  <c r="F25" i="3"/>
  <c r="B27" i="11"/>
  <c r="E27" i="11" l="1"/>
  <c r="B53" i="3"/>
  <c r="F25" i="8"/>
  <c r="B53" i="8" s="1"/>
  <c r="E25" i="8"/>
  <c r="I92" i="3"/>
  <c r="F24" i="6"/>
  <c r="E24" i="6"/>
  <c r="F25" i="5"/>
  <c r="B53" i="5" s="1"/>
  <c r="E25" i="5"/>
  <c r="B21" i="4"/>
  <c r="F24" i="12"/>
  <c r="E24" i="12"/>
  <c r="E25" i="11"/>
  <c r="F25" i="11"/>
  <c r="B53" i="11" s="1"/>
  <c r="G27" i="10"/>
  <c r="J29" i="10"/>
  <c r="J27" i="10" s="1"/>
  <c r="K27" i="10" s="1"/>
  <c r="F25" i="7"/>
  <c r="B53" i="7" s="1"/>
  <c r="E24" i="11"/>
  <c r="F24" i="11"/>
  <c r="I25" i="3"/>
  <c r="G25" i="3"/>
  <c r="J25" i="3" s="1"/>
  <c r="J91" i="3" s="1"/>
  <c r="E24" i="10"/>
  <c r="F24" i="10"/>
  <c r="I25" i="9"/>
  <c r="I91" i="9" s="1"/>
  <c r="G25" i="9"/>
  <c r="J25" i="9" s="1"/>
  <c r="B27" i="12"/>
  <c r="G29" i="12"/>
  <c r="F24" i="7"/>
  <c r="B21" i="7"/>
  <c r="F25" i="12"/>
  <c r="B53" i="12" s="1"/>
  <c r="E25" i="12"/>
  <c r="G23" i="8"/>
  <c r="B40" i="8" s="1"/>
  <c r="I23" i="8"/>
  <c r="F25" i="10"/>
  <c r="B53" i="10" s="1"/>
  <c r="E25" i="10"/>
  <c r="F24" i="8"/>
  <c r="F21" i="8" s="1"/>
  <c r="F6" i="8" s="1"/>
  <c r="E24" i="8"/>
  <c r="J24" i="3"/>
  <c r="F24" i="9"/>
  <c r="E24" i="9"/>
  <c r="E21" i="9" s="1"/>
  <c r="E24" i="4"/>
  <c r="F24" i="4"/>
  <c r="I31" i="11"/>
  <c r="I30" i="11"/>
  <c r="G30" i="11"/>
  <c r="J30" i="11" s="1"/>
  <c r="B21" i="8"/>
  <c r="E23" i="4"/>
  <c r="F21" i="3"/>
  <c r="E24" i="5"/>
  <c r="F24" i="5"/>
  <c r="F25" i="6"/>
  <c r="B53" i="6" s="1"/>
  <c r="E25" i="6"/>
  <c r="B21" i="10"/>
  <c r="E21" i="8" l="1"/>
  <c r="O24" i="19"/>
  <c r="P24" i="19"/>
  <c r="G21" i="3"/>
  <c r="G6" i="3" s="1"/>
  <c r="E21" i="6"/>
  <c r="E21" i="10"/>
  <c r="E21" i="11"/>
  <c r="O24" i="3"/>
  <c r="P24" i="3"/>
  <c r="B41" i="8"/>
  <c r="E21" i="12"/>
  <c r="I24" i="10"/>
  <c r="G24" i="10"/>
  <c r="B47" i="10" s="1"/>
  <c r="F21" i="10"/>
  <c r="F6" i="10" s="1"/>
  <c r="I25" i="7"/>
  <c r="I91" i="7" s="1"/>
  <c r="G25" i="7"/>
  <c r="J25" i="7" s="1"/>
  <c r="J91" i="7" s="1"/>
  <c r="G25" i="6"/>
  <c r="J25" i="6" s="1"/>
  <c r="J91" i="6" s="1"/>
  <c r="I25" i="6"/>
  <c r="I91" i="6" s="1"/>
  <c r="F21" i="7"/>
  <c r="F6" i="7" s="1"/>
  <c r="I24" i="7"/>
  <c r="G24" i="7"/>
  <c r="B47" i="7" s="1"/>
  <c r="I25" i="5"/>
  <c r="I91" i="5" s="1"/>
  <c r="G25" i="5"/>
  <c r="J25" i="5" s="1"/>
  <c r="J91" i="5" s="1"/>
  <c r="G25" i="8"/>
  <c r="J25" i="8" s="1"/>
  <c r="J91" i="8" s="1"/>
  <c r="I25" i="8"/>
  <c r="I91" i="8" s="1"/>
  <c r="E23" i="3"/>
  <c r="E21" i="3" s="1"/>
  <c r="B21" i="3"/>
  <c r="G25" i="12"/>
  <c r="J25" i="12" s="1"/>
  <c r="J91" i="12" s="1"/>
  <c r="I25" i="12"/>
  <c r="I91" i="12" s="1"/>
  <c r="I24" i="12"/>
  <c r="G24" i="12"/>
  <c r="B47" i="12" s="1"/>
  <c r="F21" i="12"/>
  <c r="F6" i="12" s="1"/>
  <c r="G27" i="12"/>
  <c r="J29" i="12"/>
  <c r="J27" i="12" s="1"/>
  <c r="K27" i="12" s="1"/>
  <c r="F21" i="5"/>
  <c r="F6" i="5" s="1"/>
  <c r="I24" i="5"/>
  <c r="G24" i="5"/>
  <c r="B47" i="5" s="1"/>
  <c r="B38" i="11"/>
  <c r="F40" i="11"/>
  <c r="E40" i="11"/>
  <c r="I24" i="8"/>
  <c r="I92" i="8" s="1"/>
  <c r="G24" i="8"/>
  <c r="G25" i="10"/>
  <c r="J25" i="10" s="1"/>
  <c r="J91" i="10" s="1"/>
  <c r="I25" i="10"/>
  <c r="I91" i="10" s="1"/>
  <c r="I91" i="3"/>
  <c r="F25" i="4"/>
  <c r="E25" i="4"/>
  <c r="E21" i="4" s="1"/>
  <c r="I24" i="6"/>
  <c r="F21" i="6"/>
  <c r="F6" i="6" s="1"/>
  <c r="G24" i="6"/>
  <c r="B47" i="6" s="1"/>
  <c r="G24" i="4"/>
  <c r="B47" i="4" s="1"/>
  <c r="I24" i="4"/>
  <c r="F41" i="11"/>
  <c r="I41" i="11" s="1"/>
  <c r="E41" i="11"/>
  <c r="G24" i="9"/>
  <c r="B47" i="9" s="1"/>
  <c r="I24" i="9"/>
  <c r="F21" i="9"/>
  <c r="F6" i="9" s="1"/>
  <c r="J91" i="9"/>
  <c r="K91" i="9" s="1"/>
  <c r="F6" i="3"/>
  <c r="I21" i="3"/>
  <c r="G31" i="11"/>
  <c r="J31" i="11" s="1"/>
  <c r="F27" i="11"/>
  <c r="I29" i="11"/>
  <c r="I27" i="11" s="1"/>
  <c r="G29" i="11"/>
  <c r="J92" i="3"/>
  <c r="K92" i="3" s="1"/>
  <c r="J21" i="3"/>
  <c r="J23" i="8"/>
  <c r="G24" i="11"/>
  <c r="B47" i="11" s="1"/>
  <c r="F21" i="11"/>
  <c r="I24" i="11"/>
  <c r="G25" i="11"/>
  <c r="J25" i="11" s="1"/>
  <c r="J91" i="11" s="1"/>
  <c r="I25" i="11"/>
  <c r="I91" i="11" s="1"/>
  <c r="E21" i="5"/>
  <c r="P25" i="19" l="1"/>
  <c r="O25" i="19"/>
  <c r="I21" i="8"/>
  <c r="K91" i="8"/>
  <c r="K91" i="12"/>
  <c r="F6" i="11"/>
  <c r="S24" i="3"/>
  <c r="R24" i="3"/>
  <c r="K91" i="10"/>
  <c r="J24" i="8"/>
  <c r="J92" i="8" s="1"/>
  <c r="K92" i="8" s="1"/>
  <c r="B47" i="8"/>
  <c r="K91" i="6"/>
  <c r="F21" i="4"/>
  <c r="B53" i="4"/>
  <c r="P25" i="3"/>
  <c r="O25" i="3"/>
  <c r="K91" i="11"/>
  <c r="F41" i="8"/>
  <c r="I41" i="8" s="1"/>
  <c r="E41" i="8"/>
  <c r="I6" i="3"/>
  <c r="F40" i="7"/>
  <c r="E40" i="7"/>
  <c r="B38" i="7"/>
  <c r="I92" i="6"/>
  <c r="I21" i="6"/>
  <c r="K91" i="5"/>
  <c r="F54" i="9"/>
  <c r="I54" i="9" s="1"/>
  <c r="E54" i="9"/>
  <c r="K21" i="3"/>
  <c r="J6" i="3"/>
  <c r="F41" i="7"/>
  <c r="I41" i="7" s="1"/>
  <c r="E41" i="7"/>
  <c r="K91" i="7"/>
  <c r="I92" i="11"/>
  <c r="I21" i="11"/>
  <c r="G27" i="11"/>
  <c r="J29" i="11"/>
  <c r="J27" i="11" s="1"/>
  <c r="K27" i="11" s="1"/>
  <c r="I21" i="9"/>
  <c r="I92" i="9"/>
  <c r="J24" i="4"/>
  <c r="G25" i="4"/>
  <c r="J25" i="4" s="1"/>
  <c r="J91" i="4" s="1"/>
  <c r="I25" i="4"/>
  <c r="I21" i="4" s="1"/>
  <c r="E38" i="11"/>
  <c r="I92" i="7"/>
  <c r="I21" i="7"/>
  <c r="J24" i="9"/>
  <c r="G21" i="9"/>
  <c r="G6" i="9" s="1"/>
  <c r="I40" i="11"/>
  <c r="G40" i="11"/>
  <c r="F38" i="11"/>
  <c r="J24" i="7"/>
  <c r="G21" i="7"/>
  <c r="G6" i="7" s="1"/>
  <c r="J24" i="11"/>
  <c r="G21" i="11"/>
  <c r="G21" i="12"/>
  <c r="G6" i="12" s="1"/>
  <c r="J24" i="12"/>
  <c r="F40" i="12"/>
  <c r="E40" i="12"/>
  <c r="B38" i="12"/>
  <c r="G21" i="10"/>
  <c r="G6" i="10" s="1"/>
  <c r="J24" i="10"/>
  <c r="I92" i="4"/>
  <c r="G21" i="8"/>
  <c r="G6" i="8" s="1"/>
  <c r="J24" i="6"/>
  <c r="G21" i="6"/>
  <c r="G6" i="6" s="1"/>
  <c r="G21" i="5"/>
  <c r="G6" i="5" s="1"/>
  <c r="J24" i="5"/>
  <c r="I21" i="12"/>
  <c r="I92" i="12"/>
  <c r="F41" i="12"/>
  <c r="I41" i="12" s="1"/>
  <c r="E41" i="12"/>
  <c r="I92" i="10"/>
  <c r="I21" i="10"/>
  <c r="F40" i="8"/>
  <c r="E40" i="8"/>
  <c r="B38" i="8"/>
  <c r="I21" i="5"/>
  <c r="I92" i="5"/>
  <c r="K91" i="3"/>
  <c r="E53" i="9"/>
  <c r="F53" i="9"/>
  <c r="B51" i="9"/>
  <c r="S92" i="19" l="1"/>
  <c r="R92" i="19"/>
  <c r="I6" i="8"/>
  <c r="P21" i="19"/>
  <c r="O21" i="19"/>
  <c r="G6" i="11"/>
  <c r="J21" i="8"/>
  <c r="K21" i="8" s="1"/>
  <c r="S92" i="3"/>
  <c r="R92" i="3"/>
  <c r="F6" i="4"/>
  <c r="P21" i="3"/>
  <c r="O21" i="3"/>
  <c r="I91" i="4"/>
  <c r="R25" i="3"/>
  <c r="S25" i="3"/>
  <c r="S21" i="3"/>
  <c r="R21" i="3"/>
  <c r="E38" i="8"/>
  <c r="K6" i="3"/>
  <c r="E38" i="7"/>
  <c r="J21" i="6"/>
  <c r="J92" i="6"/>
  <c r="K92" i="6" s="1"/>
  <c r="E53" i="10"/>
  <c r="F53" i="10"/>
  <c r="B51" i="10"/>
  <c r="F40" i="6"/>
  <c r="E40" i="6"/>
  <c r="B38" i="6"/>
  <c r="J21" i="7"/>
  <c r="J92" i="7"/>
  <c r="K92" i="7" s="1"/>
  <c r="F54" i="11"/>
  <c r="I54" i="11" s="1"/>
  <c r="E54" i="11"/>
  <c r="I6" i="7"/>
  <c r="I6" i="11"/>
  <c r="E47" i="8"/>
  <c r="F47" i="8"/>
  <c r="B45" i="8"/>
  <c r="I40" i="8"/>
  <c r="G40" i="8"/>
  <c r="F38" i="8"/>
  <c r="F54" i="10"/>
  <c r="I54" i="10" s="1"/>
  <c r="E54" i="10"/>
  <c r="F41" i="6"/>
  <c r="I41" i="6" s="1"/>
  <c r="E41" i="6"/>
  <c r="F53" i="6"/>
  <c r="E53" i="6"/>
  <c r="B51" i="6"/>
  <c r="E47" i="11"/>
  <c r="F47" i="11"/>
  <c r="B45" i="11"/>
  <c r="I6" i="9"/>
  <c r="E48" i="8"/>
  <c r="F48" i="8"/>
  <c r="I48" i="8" s="1"/>
  <c r="G40" i="7"/>
  <c r="I40" i="7"/>
  <c r="F38" i="7"/>
  <c r="B45" i="7"/>
  <c r="E47" i="7"/>
  <c r="F47" i="7"/>
  <c r="J92" i="10"/>
  <c r="K92" i="10" s="1"/>
  <c r="J21" i="10"/>
  <c r="E53" i="8"/>
  <c r="B51" i="8"/>
  <c r="F53" i="8"/>
  <c r="E54" i="6"/>
  <c r="F54" i="6"/>
  <c r="I54" i="6" s="1"/>
  <c r="E48" i="11"/>
  <c r="F48" i="11"/>
  <c r="I48" i="11" s="1"/>
  <c r="J92" i="9"/>
  <c r="K92" i="9" s="1"/>
  <c r="J21" i="9"/>
  <c r="E48" i="7"/>
  <c r="F48" i="7"/>
  <c r="I48" i="7" s="1"/>
  <c r="E54" i="8"/>
  <c r="F54" i="8"/>
  <c r="I54" i="8" s="1"/>
  <c r="I6" i="12"/>
  <c r="B45" i="9"/>
  <c r="F47" i="9"/>
  <c r="E47" i="9"/>
  <c r="F40" i="10"/>
  <c r="B38" i="10"/>
  <c r="E40" i="10"/>
  <c r="B45" i="6"/>
  <c r="F47" i="6"/>
  <c r="E47" i="6"/>
  <c r="J92" i="5"/>
  <c r="K92" i="5" s="1"/>
  <c r="J21" i="5"/>
  <c r="E48" i="9"/>
  <c r="F48" i="9"/>
  <c r="I48" i="9" s="1"/>
  <c r="E38" i="12"/>
  <c r="J21" i="11"/>
  <c r="J92" i="11"/>
  <c r="K92" i="11" s="1"/>
  <c r="F41" i="10"/>
  <c r="I41" i="10" s="1"/>
  <c r="E41" i="10"/>
  <c r="F48" i="6"/>
  <c r="I48" i="6" s="1"/>
  <c r="E48" i="6"/>
  <c r="E53" i="12"/>
  <c r="B51" i="12"/>
  <c r="F53" i="12"/>
  <c r="J40" i="11"/>
  <c r="G38" i="11"/>
  <c r="I6" i="6"/>
  <c r="I6" i="5"/>
  <c r="F51" i="9"/>
  <c r="I53" i="9"/>
  <c r="I51" i="9" s="1"/>
  <c r="G53" i="9"/>
  <c r="B45" i="10"/>
  <c r="E47" i="10"/>
  <c r="F47" i="10"/>
  <c r="I6" i="4"/>
  <c r="I40" i="12"/>
  <c r="G40" i="12"/>
  <c r="F38" i="12"/>
  <c r="B51" i="7"/>
  <c r="E53" i="7"/>
  <c r="F53" i="7"/>
  <c r="F54" i="12"/>
  <c r="I54" i="12" s="1"/>
  <c r="E54" i="12"/>
  <c r="I38" i="11"/>
  <c r="F40" i="9"/>
  <c r="E40" i="9"/>
  <c r="B38" i="9"/>
  <c r="J21" i="4"/>
  <c r="J92" i="4"/>
  <c r="K92" i="4" s="1"/>
  <c r="B45" i="12"/>
  <c r="F47" i="12"/>
  <c r="E47" i="12"/>
  <c r="E51" i="9"/>
  <c r="I6" i="10"/>
  <c r="F48" i="10"/>
  <c r="I48" i="10" s="1"/>
  <c r="E48" i="10"/>
  <c r="J92" i="12"/>
  <c r="K92" i="12" s="1"/>
  <c r="J21" i="12"/>
  <c r="F54" i="7"/>
  <c r="I54" i="7" s="1"/>
  <c r="E54" i="7"/>
  <c r="E53" i="11"/>
  <c r="F53" i="11"/>
  <c r="B51" i="11"/>
  <c r="F41" i="9"/>
  <c r="I41" i="9" s="1"/>
  <c r="E41" i="9"/>
  <c r="G21" i="4"/>
  <c r="G6" i="4" s="1"/>
  <c r="E48" i="12"/>
  <c r="F48" i="12"/>
  <c r="I48" i="12" s="1"/>
  <c r="R91" i="19" l="1"/>
  <c r="S91" i="19"/>
  <c r="J6" i="8"/>
  <c r="K6" i="8" s="1"/>
  <c r="O6" i="19"/>
  <c r="P6" i="19"/>
  <c r="B36" i="10"/>
  <c r="E51" i="11"/>
  <c r="B36" i="8"/>
  <c r="E45" i="9"/>
  <c r="E38" i="9"/>
  <c r="E45" i="6"/>
  <c r="S91" i="3"/>
  <c r="R91" i="3"/>
  <c r="E45" i="12"/>
  <c r="E45" i="7"/>
  <c r="K91" i="4"/>
  <c r="R6" i="3"/>
  <c r="S6" i="3"/>
  <c r="P6" i="3"/>
  <c r="O6" i="3"/>
  <c r="E45" i="11"/>
  <c r="B36" i="6"/>
  <c r="E51" i="10"/>
  <c r="K21" i="4"/>
  <c r="J6" i="4"/>
  <c r="K6" i="4" s="1"/>
  <c r="F51" i="7"/>
  <c r="I53" i="7"/>
  <c r="I51" i="7" s="1"/>
  <c r="G53" i="7"/>
  <c r="F47" i="5"/>
  <c r="E47" i="5"/>
  <c r="B45" i="5"/>
  <c r="I38" i="7"/>
  <c r="I53" i="10"/>
  <c r="I51" i="10" s="1"/>
  <c r="G53" i="10"/>
  <c r="F51" i="10"/>
  <c r="B36" i="9"/>
  <c r="E51" i="7"/>
  <c r="F53" i="5"/>
  <c r="E53" i="5"/>
  <c r="B51" i="5"/>
  <c r="F45" i="9"/>
  <c r="I47" i="9"/>
  <c r="I45" i="9" s="1"/>
  <c r="G47" i="9"/>
  <c r="F48" i="5"/>
  <c r="I48" i="5" s="1"/>
  <c r="E48" i="5"/>
  <c r="F51" i="8"/>
  <c r="I53" i="8"/>
  <c r="I51" i="8" s="1"/>
  <c r="G53" i="8"/>
  <c r="G47" i="7"/>
  <c r="F45" i="7"/>
  <c r="I47" i="7"/>
  <c r="I45" i="7" s="1"/>
  <c r="G38" i="7"/>
  <c r="J40" i="7"/>
  <c r="K21" i="12"/>
  <c r="J6" i="12"/>
  <c r="K6" i="12" s="1"/>
  <c r="F45" i="10"/>
  <c r="G47" i="10"/>
  <c r="I47" i="10"/>
  <c r="I45" i="10" s="1"/>
  <c r="J38" i="11"/>
  <c r="K38" i="11" s="1"/>
  <c r="F54" i="5"/>
  <c r="I54" i="5" s="1"/>
  <c r="E54" i="5"/>
  <c r="E51" i="6"/>
  <c r="I47" i="8"/>
  <c r="I45" i="8" s="1"/>
  <c r="G47" i="8"/>
  <c r="F45" i="8"/>
  <c r="I40" i="9"/>
  <c r="G40" i="9"/>
  <c r="F38" i="9"/>
  <c r="E45" i="10"/>
  <c r="F51" i="12"/>
  <c r="I53" i="12"/>
  <c r="I51" i="12" s="1"/>
  <c r="G53" i="12"/>
  <c r="K21" i="11"/>
  <c r="J6" i="11"/>
  <c r="K6" i="11" s="1"/>
  <c r="F45" i="6"/>
  <c r="I47" i="6"/>
  <c r="I45" i="6" s="1"/>
  <c r="G47" i="6"/>
  <c r="K21" i="9"/>
  <c r="J6" i="9"/>
  <c r="K6" i="9" s="1"/>
  <c r="E51" i="8"/>
  <c r="B36" i="7"/>
  <c r="I53" i="6"/>
  <c r="I51" i="6" s="1"/>
  <c r="G53" i="6"/>
  <c r="F51" i="6"/>
  <c r="E45" i="8"/>
  <c r="K21" i="7"/>
  <c r="J6" i="7"/>
  <c r="K6" i="7" s="1"/>
  <c r="K21" i="6"/>
  <c r="J6" i="6"/>
  <c r="K6" i="6" s="1"/>
  <c r="F25" i="2"/>
  <c r="E25" i="2"/>
  <c r="J40" i="8"/>
  <c r="G38" i="8"/>
  <c r="I47" i="12"/>
  <c r="I45" i="12" s="1"/>
  <c r="G47" i="12"/>
  <c r="F45" i="12"/>
  <c r="E51" i="12"/>
  <c r="E38" i="10"/>
  <c r="I38" i="8"/>
  <c r="E38" i="6"/>
  <c r="B38" i="5"/>
  <c r="F40" i="5"/>
  <c r="E40" i="5"/>
  <c r="G53" i="11"/>
  <c r="F51" i="11"/>
  <c r="I53" i="11"/>
  <c r="I51" i="11" s="1"/>
  <c r="B36" i="12"/>
  <c r="J40" i="12"/>
  <c r="G38" i="12"/>
  <c r="B36" i="11"/>
  <c r="I40" i="6"/>
  <c r="G40" i="6"/>
  <c r="F38" i="6"/>
  <c r="F41" i="5"/>
  <c r="I41" i="5" s="1"/>
  <c r="E41" i="5"/>
  <c r="I38" i="12"/>
  <c r="G51" i="9"/>
  <c r="J53" i="9"/>
  <c r="J51" i="9" s="1"/>
  <c r="K51" i="9" s="1"/>
  <c r="K21" i="5"/>
  <c r="J6" i="5"/>
  <c r="K6" i="5" s="1"/>
  <c r="F38" i="10"/>
  <c r="G40" i="10"/>
  <c r="I40" i="10"/>
  <c r="K21" i="10"/>
  <c r="J6" i="10"/>
  <c r="K6" i="10" s="1"/>
  <c r="I47" i="11"/>
  <c r="G47" i="11"/>
  <c r="F45" i="11"/>
  <c r="E36" i="11" l="1"/>
  <c r="E36" i="7"/>
  <c r="F36" i="9"/>
  <c r="F34" i="9" s="1"/>
  <c r="E36" i="9"/>
  <c r="E36" i="12"/>
  <c r="E51" i="5"/>
  <c r="E36" i="10"/>
  <c r="F36" i="12"/>
  <c r="F36" i="8"/>
  <c r="I93" i="12"/>
  <c r="E36" i="6"/>
  <c r="O25" i="2"/>
  <c r="P25" i="2"/>
  <c r="B53" i="2"/>
  <c r="I93" i="7"/>
  <c r="F36" i="6"/>
  <c r="F36" i="11"/>
  <c r="F36" i="7"/>
  <c r="I93" i="8"/>
  <c r="B38" i="3"/>
  <c r="F41" i="3"/>
  <c r="E41" i="3"/>
  <c r="G51" i="6"/>
  <c r="J53" i="6"/>
  <c r="J51" i="6" s="1"/>
  <c r="K51" i="6" s="1"/>
  <c r="I38" i="10"/>
  <c r="I93" i="10"/>
  <c r="I36" i="12"/>
  <c r="J38" i="12"/>
  <c r="K38" i="12" s="1"/>
  <c r="F53" i="4"/>
  <c r="E53" i="4"/>
  <c r="B51" i="4"/>
  <c r="I36" i="7"/>
  <c r="G51" i="7"/>
  <c r="J53" i="7"/>
  <c r="J51" i="7" s="1"/>
  <c r="K51" i="7" s="1"/>
  <c r="J47" i="8"/>
  <c r="J45" i="8" s="1"/>
  <c r="K45" i="8" s="1"/>
  <c r="G45" i="8"/>
  <c r="G38" i="10"/>
  <c r="J40" i="10"/>
  <c r="E54" i="4"/>
  <c r="F54" i="4"/>
  <c r="J47" i="9"/>
  <c r="J45" i="9" s="1"/>
  <c r="K45" i="9" s="1"/>
  <c r="G45" i="9"/>
  <c r="F53" i="3"/>
  <c r="E53" i="3"/>
  <c r="B51" i="3"/>
  <c r="J40" i="6"/>
  <c r="G38" i="6"/>
  <c r="J38" i="8"/>
  <c r="J40" i="9"/>
  <c r="G38" i="9"/>
  <c r="G36" i="9" s="1"/>
  <c r="F41" i="4"/>
  <c r="E41" i="4"/>
  <c r="F54" i="3"/>
  <c r="E54" i="3"/>
  <c r="I38" i="6"/>
  <c r="I93" i="6"/>
  <c r="I36" i="8"/>
  <c r="I38" i="9"/>
  <c r="I93" i="9"/>
  <c r="B45" i="4"/>
  <c r="E47" i="4"/>
  <c r="F47" i="4"/>
  <c r="G45" i="10"/>
  <c r="J47" i="10"/>
  <c r="J45" i="10" s="1"/>
  <c r="K45" i="10" s="1"/>
  <c r="J47" i="7"/>
  <c r="J45" i="7" s="1"/>
  <c r="G45" i="7"/>
  <c r="B36" i="5"/>
  <c r="E23" i="2"/>
  <c r="J47" i="11"/>
  <c r="G45" i="11"/>
  <c r="G51" i="11"/>
  <c r="J53" i="11"/>
  <c r="J51" i="11" s="1"/>
  <c r="K51" i="11" s="1"/>
  <c r="G45" i="12"/>
  <c r="J47" i="12"/>
  <c r="J45" i="12" s="1"/>
  <c r="E36" i="8"/>
  <c r="G51" i="12"/>
  <c r="J53" i="12"/>
  <c r="J51" i="12" s="1"/>
  <c r="K51" i="12" s="1"/>
  <c r="F48" i="4"/>
  <c r="E48" i="4"/>
  <c r="F36" i="10"/>
  <c r="J53" i="8"/>
  <c r="J51" i="8" s="1"/>
  <c r="K51" i="8" s="1"/>
  <c r="G51" i="8"/>
  <c r="J53" i="10"/>
  <c r="J51" i="10" s="1"/>
  <c r="K51" i="10" s="1"/>
  <c r="G51" i="10"/>
  <c r="E45" i="5"/>
  <c r="I45" i="11"/>
  <c r="I93" i="11"/>
  <c r="E38" i="5"/>
  <c r="G45" i="6"/>
  <c r="J47" i="6"/>
  <c r="J45" i="6" s="1"/>
  <c r="F45" i="5"/>
  <c r="I47" i="5"/>
  <c r="I45" i="5" s="1"/>
  <c r="G47" i="5"/>
  <c r="F47" i="3"/>
  <c r="E47" i="3"/>
  <c r="B45" i="3"/>
  <c r="J38" i="7"/>
  <c r="K38" i="7" s="1"/>
  <c r="E54" i="2"/>
  <c r="F54" i="2"/>
  <c r="F40" i="4"/>
  <c r="E40" i="4"/>
  <c r="B38" i="4"/>
  <c r="I40" i="5"/>
  <c r="G40" i="5"/>
  <c r="F38" i="5"/>
  <c r="F40" i="3"/>
  <c r="E40" i="3"/>
  <c r="I25" i="2"/>
  <c r="G25" i="2"/>
  <c r="J25" i="2" s="1"/>
  <c r="J91" i="2" s="1"/>
  <c r="F51" i="5"/>
  <c r="I53" i="5"/>
  <c r="I51" i="5" s="1"/>
  <c r="G53" i="5"/>
  <c r="F48" i="3"/>
  <c r="E48" i="3"/>
  <c r="S25" i="19" l="1"/>
  <c r="R25" i="19"/>
  <c r="P40" i="19"/>
  <c r="O40" i="19"/>
  <c r="I48" i="4"/>
  <c r="O48" i="19"/>
  <c r="P48" i="19"/>
  <c r="O47" i="19"/>
  <c r="P47" i="19"/>
  <c r="O53" i="19"/>
  <c r="P53" i="19"/>
  <c r="I41" i="4"/>
  <c r="P41" i="19"/>
  <c r="O41" i="19"/>
  <c r="I54" i="4"/>
  <c r="P54" i="19"/>
  <c r="O54" i="19"/>
  <c r="G36" i="8"/>
  <c r="G34" i="8" s="1"/>
  <c r="F34" i="8"/>
  <c r="P47" i="3"/>
  <c r="O47" i="3"/>
  <c r="F34" i="10"/>
  <c r="P41" i="3"/>
  <c r="O41" i="3"/>
  <c r="F34" i="6"/>
  <c r="F34" i="12"/>
  <c r="G34" i="9"/>
  <c r="P40" i="3"/>
  <c r="O40" i="3"/>
  <c r="P54" i="3"/>
  <c r="O54" i="3"/>
  <c r="F34" i="7"/>
  <c r="P48" i="3"/>
  <c r="O48" i="3"/>
  <c r="J93" i="7"/>
  <c r="K93" i="7" s="1"/>
  <c r="B36" i="4"/>
  <c r="P53" i="3"/>
  <c r="O53" i="3"/>
  <c r="F34" i="11"/>
  <c r="S25" i="2"/>
  <c r="R25" i="2"/>
  <c r="O54" i="2"/>
  <c r="P54" i="2"/>
  <c r="G36" i="6"/>
  <c r="J36" i="12"/>
  <c r="J34" i="12" s="1"/>
  <c r="J89" i="12" s="1"/>
  <c r="G36" i="12"/>
  <c r="E38" i="4"/>
  <c r="G40" i="4"/>
  <c r="I40" i="4"/>
  <c r="F38" i="4"/>
  <c r="J47" i="5"/>
  <c r="J45" i="5" s="1"/>
  <c r="K45" i="5" s="1"/>
  <c r="G45" i="5"/>
  <c r="I53" i="4"/>
  <c r="G53" i="4"/>
  <c r="F51" i="4"/>
  <c r="I54" i="2"/>
  <c r="I36" i="11"/>
  <c r="I54" i="3"/>
  <c r="J38" i="9"/>
  <c r="J36" i="9" s="1"/>
  <c r="J34" i="9" s="1"/>
  <c r="J89" i="9" s="1"/>
  <c r="J93" i="9"/>
  <c r="K93" i="9" s="1"/>
  <c r="F51" i="3"/>
  <c r="I53" i="3"/>
  <c r="G53" i="3"/>
  <c r="E51" i="3"/>
  <c r="I36" i="10"/>
  <c r="G40" i="3"/>
  <c r="I40" i="3"/>
  <c r="F38" i="3"/>
  <c r="F36" i="5"/>
  <c r="E53" i="2"/>
  <c r="E51" i="2" s="1"/>
  <c r="B51" i="2"/>
  <c r="F53" i="2"/>
  <c r="G36" i="7"/>
  <c r="I36" i="9"/>
  <c r="J93" i="8"/>
  <c r="K93" i="8" s="1"/>
  <c r="J38" i="10"/>
  <c r="K38" i="10" s="1"/>
  <c r="J93" i="10"/>
  <c r="K93" i="10" s="1"/>
  <c r="I34" i="7"/>
  <c r="G51" i="5"/>
  <c r="J53" i="5"/>
  <c r="J51" i="5" s="1"/>
  <c r="K51" i="5" s="1"/>
  <c r="J36" i="7"/>
  <c r="J34" i="7" s="1"/>
  <c r="J89" i="7" s="1"/>
  <c r="J36" i="8"/>
  <c r="J34" i="8" s="1"/>
  <c r="J89" i="8" s="1"/>
  <c r="J93" i="12"/>
  <c r="K93" i="12" s="1"/>
  <c r="K45" i="6"/>
  <c r="G38" i="5"/>
  <c r="J40" i="5"/>
  <c r="K45" i="12"/>
  <c r="G36" i="11"/>
  <c r="K38" i="8"/>
  <c r="I38" i="5"/>
  <c r="I93" i="5"/>
  <c r="B36" i="3"/>
  <c r="E36" i="5"/>
  <c r="J45" i="11"/>
  <c r="J36" i="11" s="1"/>
  <c r="J34" i="11" s="1"/>
  <c r="J89" i="11" s="1"/>
  <c r="J93" i="11"/>
  <c r="K93" i="11" s="1"/>
  <c r="G36" i="10"/>
  <c r="I34" i="8"/>
  <c r="E38" i="3"/>
  <c r="I91" i="2"/>
  <c r="E45" i="3"/>
  <c r="F45" i="4"/>
  <c r="I47" i="4"/>
  <c r="I45" i="4" s="1"/>
  <c r="G47" i="4"/>
  <c r="J38" i="6"/>
  <c r="J36" i="6" s="1"/>
  <c r="J34" i="6" s="1"/>
  <c r="J89" i="6" s="1"/>
  <c r="J93" i="6"/>
  <c r="K93" i="6" s="1"/>
  <c r="K45" i="7"/>
  <c r="I34" i="12"/>
  <c r="I41" i="3"/>
  <c r="I48" i="3"/>
  <c r="I47" i="3"/>
  <c r="G47" i="3"/>
  <c r="F45" i="3"/>
  <c r="E45" i="4"/>
  <c r="I36" i="6"/>
  <c r="E51" i="4"/>
  <c r="I51" i="4" l="1"/>
  <c r="S54" i="19"/>
  <c r="R54" i="19"/>
  <c r="O51" i="19"/>
  <c r="P51" i="19"/>
  <c r="P45" i="19"/>
  <c r="O45" i="19"/>
  <c r="P38" i="19"/>
  <c r="O38" i="19"/>
  <c r="K36" i="12"/>
  <c r="E36" i="4"/>
  <c r="K38" i="6"/>
  <c r="J36" i="10"/>
  <c r="J34" i="10" s="1"/>
  <c r="J89" i="10" s="1"/>
  <c r="G34" i="11"/>
  <c r="S53" i="3"/>
  <c r="R53" i="3"/>
  <c r="P51" i="3"/>
  <c r="O51" i="3"/>
  <c r="F34" i="5"/>
  <c r="G34" i="12"/>
  <c r="S48" i="3"/>
  <c r="R48" i="3"/>
  <c r="O38" i="3"/>
  <c r="P38" i="3"/>
  <c r="R47" i="3"/>
  <c r="S47" i="3"/>
  <c r="S40" i="3"/>
  <c r="R40" i="3"/>
  <c r="R54" i="3"/>
  <c r="S54" i="3"/>
  <c r="G34" i="6"/>
  <c r="G34" i="10"/>
  <c r="O45" i="3"/>
  <c r="P45" i="3"/>
  <c r="E36" i="3"/>
  <c r="S41" i="3"/>
  <c r="R41" i="3"/>
  <c r="K36" i="8"/>
  <c r="G34" i="7"/>
  <c r="S91" i="2"/>
  <c r="R91" i="2"/>
  <c r="P53" i="2"/>
  <c r="O53" i="2"/>
  <c r="S54" i="2"/>
  <c r="R54" i="2"/>
  <c r="J38" i="5"/>
  <c r="K38" i="5" s="1"/>
  <c r="J93" i="5"/>
  <c r="K93" i="5" s="1"/>
  <c r="F36" i="3"/>
  <c r="G51" i="4"/>
  <c r="J53" i="4"/>
  <c r="J51" i="4" s="1"/>
  <c r="K51" i="4" s="1"/>
  <c r="K38" i="9"/>
  <c r="I34" i="10"/>
  <c r="J47" i="3"/>
  <c r="J45" i="3" s="1"/>
  <c r="G45" i="3"/>
  <c r="K34" i="8"/>
  <c r="I89" i="8"/>
  <c r="L34" i="8" s="1"/>
  <c r="I36" i="5"/>
  <c r="K36" i="9"/>
  <c r="I34" i="9"/>
  <c r="G51" i="3"/>
  <c r="J53" i="3"/>
  <c r="J51" i="3" s="1"/>
  <c r="G36" i="5"/>
  <c r="I45" i="3"/>
  <c r="J47" i="4"/>
  <c r="J45" i="4" s="1"/>
  <c r="G45" i="4"/>
  <c r="K91" i="2"/>
  <c r="K34" i="7"/>
  <c r="I89" i="7"/>
  <c r="L34" i="7" s="1"/>
  <c r="I38" i="3"/>
  <c r="I93" i="3"/>
  <c r="I51" i="3"/>
  <c r="I34" i="6"/>
  <c r="K36" i="6"/>
  <c r="K36" i="7"/>
  <c r="F51" i="2"/>
  <c r="I53" i="2"/>
  <c r="G53" i="2"/>
  <c r="G38" i="3"/>
  <c r="J40" i="3"/>
  <c r="I34" i="11"/>
  <c r="K36" i="11"/>
  <c r="F36" i="4"/>
  <c r="I38" i="4"/>
  <c r="I93" i="4"/>
  <c r="K34" i="12"/>
  <c r="I89" i="12"/>
  <c r="K45" i="11"/>
  <c r="J40" i="4"/>
  <c r="G38" i="4"/>
  <c r="S53" i="19" l="1"/>
  <c r="R53" i="19"/>
  <c r="S93" i="19"/>
  <c r="R93" i="19"/>
  <c r="P36" i="19"/>
  <c r="O36" i="19"/>
  <c r="K36" i="10"/>
  <c r="J36" i="5"/>
  <c r="J34" i="5" s="1"/>
  <c r="J89" i="5" s="1"/>
  <c r="P36" i="3"/>
  <c r="O36" i="3"/>
  <c r="G34" i="5"/>
  <c r="S38" i="3"/>
  <c r="R38" i="3"/>
  <c r="F34" i="4"/>
  <c r="S51" i="3"/>
  <c r="R51" i="3"/>
  <c r="S45" i="3"/>
  <c r="R45" i="3"/>
  <c r="R93" i="3"/>
  <c r="S93" i="3"/>
  <c r="R53" i="2"/>
  <c r="S53" i="2"/>
  <c r="P51" i="2"/>
  <c r="O51" i="2"/>
  <c r="G36" i="3"/>
  <c r="J38" i="4"/>
  <c r="K38" i="4" s="1"/>
  <c r="J93" i="4"/>
  <c r="K93" i="4" s="1"/>
  <c r="K51" i="3"/>
  <c r="K45" i="3"/>
  <c r="J53" i="2"/>
  <c r="J51" i="2" s="1"/>
  <c r="G51" i="2"/>
  <c r="K34" i="6"/>
  <c r="I89" i="6"/>
  <c r="L34" i="6" s="1"/>
  <c r="G36" i="4"/>
  <c r="I34" i="5"/>
  <c r="K34" i="10"/>
  <c r="I89" i="10"/>
  <c r="L34" i="10" s="1"/>
  <c r="F34" i="3"/>
  <c r="K89" i="12"/>
  <c r="L57" i="12"/>
  <c r="L9" i="12"/>
  <c r="L63" i="12"/>
  <c r="L74" i="12"/>
  <c r="L82" i="12"/>
  <c r="L27" i="12"/>
  <c r="L21" i="12"/>
  <c r="L6" i="12"/>
  <c r="L51" i="12"/>
  <c r="L38" i="12"/>
  <c r="L45" i="12"/>
  <c r="L36" i="12"/>
  <c r="I36" i="4"/>
  <c r="I89" i="11"/>
  <c r="K34" i="11"/>
  <c r="I51" i="2"/>
  <c r="I36" i="3"/>
  <c r="L34" i="12"/>
  <c r="L63" i="8"/>
  <c r="L57" i="8"/>
  <c r="K89" i="8"/>
  <c r="L74" i="8"/>
  <c r="L82" i="8"/>
  <c r="L9" i="8"/>
  <c r="L27" i="8"/>
  <c r="L21" i="8"/>
  <c r="L6" i="8"/>
  <c r="L51" i="8"/>
  <c r="L45" i="8"/>
  <c r="L38" i="8"/>
  <c r="L36" i="8"/>
  <c r="J38" i="3"/>
  <c r="K38" i="3" s="1"/>
  <c r="J93" i="3"/>
  <c r="K93" i="3" s="1"/>
  <c r="K45" i="4"/>
  <c r="L57" i="7"/>
  <c r="L9" i="7"/>
  <c r="L63" i="7"/>
  <c r="K89" i="7"/>
  <c r="L82" i="7"/>
  <c r="L74" i="7"/>
  <c r="L27" i="7"/>
  <c r="L21" i="7"/>
  <c r="L6" i="7"/>
  <c r="L45" i="7"/>
  <c r="L51" i="7"/>
  <c r="L38" i="7"/>
  <c r="L36" i="7"/>
  <c r="K34" i="9"/>
  <c r="I89" i="9"/>
  <c r="L34" i="9" s="1"/>
  <c r="J36" i="4" l="1"/>
  <c r="J34" i="4" s="1"/>
  <c r="J89" i="4" s="1"/>
  <c r="S51" i="19"/>
  <c r="R51" i="19"/>
  <c r="K36" i="5"/>
  <c r="O34" i="19"/>
  <c r="P34" i="19"/>
  <c r="G34" i="4"/>
  <c r="S36" i="3"/>
  <c r="R36" i="3"/>
  <c r="O34" i="3"/>
  <c r="P34" i="3"/>
  <c r="G34" i="3"/>
  <c r="J36" i="3"/>
  <c r="J34" i="3" s="1"/>
  <c r="J89" i="3" s="1"/>
  <c r="S51" i="2"/>
  <c r="R51" i="2"/>
  <c r="L74" i="11"/>
  <c r="K89" i="11"/>
  <c r="L63" i="11"/>
  <c r="L9" i="11"/>
  <c r="L57" i="11"/>
  <c r="L82" i="11"/>
  <c r="L27" i="11"/>
  <c r="L21" i="11"/>
  <c r="L6" i="11"/>
  <c r="L38" i="11"/>
  <c r="L51" i="11"/>
  <c r="L45" i="11"/>
  <c r="L36" i="11"/>
  <c r="I89" i="5"/>
  <c r="L34" i="5" s="1"/>
  <c r="K34" i="5"/>
  <c r="I34" i="4"/>
  <c r="B38" i="2"/>
  <c r="E40" i="2"/>
  <c r="F40" i="2"/>
  <c r="E41" i="2"/>
  <c r="F41" i="2"/>
  <c r="L82" i="9"/>
  <c r="L63" i="9"/>
  <c r="L57" i="9"/>
  <c r="K89" i="9"/>
  <c r="L9" i="9"/>
  <c r="L74" i="9"/>
  <c r="L27" i="9"/>
  <c r="L21" i="9"/>
  <c r="L6" i="9"/>
  <c r="L51" i="9"/>
  <c r="L45" i="9"/>
  <c r="L38" i="9"/>
  <c r="L36" i="9"/>
  <c r="I34" i="3"/>
  <c r="K51" i="2"/>
  <c r="L82" i="10"/>
  <c r="L9" i="10"/>
  <c r="L57" i="10"/>
  <c r="L74" i="10"/>
  <c r="K89" i="10"/>
  <c r="L63" i="10"/>
  <c r="L27" i="10"/>
  <c r="L21" i="10"/>
  <c r="L6" i="10"/>
  <c r="L45" i="10"/>
  <c r="L51" i="10"/>
  <c r="L38" i="10"/>
  <c r="L36" i="10"/>
  <c r="L34" i="11"/>
  <c r="L82" i="6"/>
  <c r="L57" i="6"/>
  <c r="L9" i="6"/>
  <c r="L63" i="6"/>
  <c r="L74" i="6"/>
  <c r="K89" i="6"/>
  <c r="L27" i="6"/>
  <c r="L21" i="6"/>
  <c r="L6" i="6"/>
  <c r="L45" i="6"/>
  <c r="L51" i="6"/>
  <c r="L38" i="6"/>
  <c r="L36" i="6"/>
  <c r="K36" i="4" l="1"/>
  <c r="K36" i="3"/>
  <c r="S34" i="3"/>
  <c r="R34" i="3"/>
  <c r="P40" i="2"/>
  <c r="O40" i="2"/>
  <c r="O41" i="2"/>
  <c r="P41" i="2"/>
  <c r="L9" i="5"/>
  <c r="L74" i="5"/>
  <c r="K89" i="5"/>
  <c r="L63" i="5"/>
  <c r="L82" i="5"/>
  <c r="L57" i="5"/>
  <c r="L27" i="5"/>
  <c r="L21" i="5"/>
  <c r="L6" i="5"/>
  <c r="L51" i="5"/>
  <c r="L45" i="5"/>
  <c r="L38" i="5"/>
  <c r="L36" i="5"/>
  <c r="I41" i="2"/>
  <c r="K34" i="4"/>
  <c r="I89" i="4"/>
  <c r="S89" i="19" s="1"/>
  <c r="K34" i="3"/>
  <c r="I89" i="3"/>
  <c r="E38" i="2"/>
  <c r="G40" i="2"/>
  <c r="F38" i="2"/>
  <c r="I40" i="2"/>
  <c r="S41" i="19" l="1"/>
  <c r="R41" i="19"/>
  <c r="S40" i="19"/>
  <c r="R40" i="19"/>
  <c r="L34" i="3"/>
  <c r="S89" i="3"/>
  <c r="R89" i="3"/>
  <c r="S40" i="2"/>
  <c r="R40" i="2"/>
  <c r="S41" i="2"/>
  <c r="R41" i="2"/>
  <c r="P38" i="2"/>
  <c r="O38" i="2"/>
  <c r="I38" i="2"/>
  <c r="J40" i="2"/>
  <c r="G38" i="2"/>
  <c r="L82" i="4"/>
  <c r="L74" i="4"/>
  <c r="L9" i="4"/>
  <c r="L57" i="4"/>
  <c r="K89" i="4"/>
  <c r="L63" i="4"/>
  <c r="L27" i="4"/>
  <c r="L21" i="4"/>
  <c r="L6" i="4"/>
  <c r="L45" i="4"/>
  <c r="L51" i="4"/>
  <c r="L38" i="4"/>
  <c r="L36" i="4"/>
  <c r="L9" i="3"/>
  <c r="L63" i="3"/>
  <c r="L57" i="3"/>
  <c r="K89" i="3"/>
  <c r="L74" i="3"/>
  <c r="L82" i="3"/>
  <c r="L27" i="3"/>
  <c r="L21" i="3"/>
  <c r="L6" i="3"/>
  <c r="L45" i="3"/>
  <c r="L38" i="3"/>
  <c r="L51" i="3"/>
  <c r="L36" i="3"/>
  <c r="L34" i="4"/>
  <c r="R38" i="19" l="1"/>
  <c r="S38" i="19"/>
  <c r="R38" i="2"/>
  <c r="S38" i="2"/>
  <c r="J38" i="2"/>
  <c r="K38" i="2" s="1"/>
  <c r="E24" i="2" l="1"/>
  <c r="E21" i="2" s="1"/>
  <c r="F24" i="2"/>
  <c r="B21" i="2"/>
  <c r="P24" i="2" l="1"/>
  <c r="O24" i="2"/>
  <c r="I24" i="2"/>
  <c r="G24" i="2"/>
  <c r="B47" i="2" s="1"/>
  <c r="F21" i="2"/>
  <c r="R24" i="19" l="1"/>
  <c r="S24" i="19"/>
  <c r="P21" i="2"/>
  <c r="O21" i="2"/>
  <c r="S24" i="2"/>
  <c r="R24" i="2"/>
  <c r="F6" i="2"/>
  <c r="G21" i="2"/>
  <c r="G6" i="2" s="1"/>
  <c r="J24" i="2"/>
  <c r="I21" i="2"/>
  <c r="I92" i="2"/>
  <c r="S21" i="19" l="1"/>
  <c r="R21" i="19"/>
  <c r="S21" i="2"/>
  <c r="R21" i="2"/>
  <c r="O6" i="2"/>
  <c r="P6" i="2"/>
  <c r="S92" i="2"/>
  <c r="R92" i="2"/>
  <c r="J21" i="2"/>
  <c r="J92" i="2"/>
  <c r="K92" i="2" s="1"/>
  <c r="B45" i="2"/>
  <c r="B36" i="2" s="1"/>
  <c r="F47" i="2"/>
  <c r="E47" i="2"/>
  <c r="I6" i="2"/>
  <c r="F48" i="2"/>
  <c r="E48" i="2"/>
  <c r="S6" i="19" l="1"/>
  <c r="R6" i="19"/>
  <c r="O48" i="2"/>
  <c r="P48" i="2"/>
  <c r="R6" i="2"/>
  <c r="S6" i="2"/>
  <c r="P47" i="2"/>
  <c r="O47" i="2"/>
  <c r="E45" i="2"/>
  <c r="E36" i="2" s="1"/>
  <c r="G47" i="2"/>
  <c r="I47" i="2"/>
  <c r="F45" i="2"/>
  <c r="K21" i="2"/>
  <c r="J6" i="2"/>
  <c r="K6" i="2" s="1"/>
  <c r="I48" i="2"/>
  <c r="S48" i="19" l="1"/>
  <c r="R48" i="19"/>
  <c r="S47" i="19"/>
  <c r="R47" i="19"/>
  <c r="S47" i="2"/>
  <c r="R47" i="2"/>
  <c r="S48" i="2"/>
  <c r="R48" i="2"/>
  <c r="P45" i="2"/>
  <c r="O45" i="2"/>
  <c r="I45" i="2"/>
  <c r="I93" i="2"/>
  <c r="F36" i="2"/>
  <c r="J47" i="2"/>
  <c r="G45" i="2"/>
  <c r="G36" i="2" s="1"/>
  <c r="G34" i="2" s="1"/>
  <c r="R45" i="19" l="1"/>
  <c r="S45" i="19"/>
  <c r="O36" i="2"/>
  <c r="P36" i="2"/>
  <c r="S45" i="2"/>
  <c r="R45" i="2"/>
  <c r="S93" i="2"/>
  <c r="R93" i="2"/>
  <c r="F34" i="2"/>
  <c r="I36" i="2"/>
  <c r="J45" i="2"/>
  <c r="J36" i="2" s="1"/>
  <c r="J34" i="2" s="1"/>
  <c r="J89" i="2" s="1"/>
  <c r="J93" i="2"/>
  <c r="K93" i="2" s="1"/>
  <c r="R36" i="19" l="1"/>
  <c r="S36" i="19"/>
  <c r="S36" i="2"/>
  <c r="R36" i="2"/>
  <c r="P34" i="2"/>
  <c r="O34" i="2"/>
  <c r="K45" i="2"/>
  <c r="I34" i="2"/>
  <c r="K36" i="2"/>
  <c r="R34" i="19" l="1"/>
  <c r="S34" i="19"/>
  <c r="S34" i="2"/>
  <c r="R34" i="2"/>
  <c r="I89" i="2"/>
  <c r="K34" i="2"/>
  <c r="R89" i="2" l="1"/>
  <c r="R89" i="19"/>
  <c r="L34" i="2"/>
  <c r="S89" i="2"/>
  <c r="L57" i="2"/>
  <c r="L74" i="2"/>
  <c r="L82" i="2"/>
  <c r="L9" i="2"/>
  <c r="L63" i="2"/>
  <c r="K89" i="2"/>
  <c r="L27" i="2"/>
  <c r="L51" i="2"/>
  <c r="L38" i="2"/>
  <c r="L21" i="2"/>
  <c r="L6" i="2"/>
  <c r="L45" i="2"/>
  <c r="L36" i="2"/>
</calcChain>
</file>

<file path=xl/comments1.xml><?xml version="1.0" encoding="utf-8"?>
<comments xmlns="http://schemas.openxmlformats.org/spreadsheetml/2006/main">
  <authors>
    <author>MERCIER Laurent (AGRI)</author>
    <author>DAELEMANS Jos (AGRI)</author>
  </authors>
  <commentList>
    <comment ref="C59" authorId="0" shapeId="0">
      <text>
        <r>
          <rPr>
            <b/>
            <sz val="9"/>
            <color indexed="81"/>
            <rFont val="Tahoma"/>
            <family val="2"/>
          </rPr>
          <t>MERCIER Laurent (AGRI):</t>
        </r>
        <r>
          <rPr>
            <sz val="9"/>
            <color indexed="81"/>
            <rFont val="Tahoma"/>
            <family val="2"/>
          </rPr>
          <t xml:space="preserve">
Based on 2021-22 figures</t>
        </r>
      </text>
    </comment>
    <comment ref="D59" authorId="0" shapeId="0">
      <text>
        <r>
          <rPr>
            <b/>
            <sz val="9"/>
            <color indexed="81"/>
            <rFont val="Tahoma"/>
            <family val="2"/>
          </rPr>
          <t>MERCIER Laurent (AGRI):</t>
        </r>
        <r>
          <rPr>
            <sz val="9"/>
            <color indexed="81"/>
            <rFont val="Tahoma"/>
            <family val="2"/>
          </rPr>
          <t xml:space="preserve">
Based on 2021-22 figures</t>
        </r>
      </text>
    </comment>
    <comment ref="C60" authorId="0" shapeId="0">
      <text>
        <r>
          <rPr>
            <b/>
            <sz val="9"/>
            <color indexed="81"/>
            <rFont val="Tahoma"/>
            <family val="2"/>
          </rPr>
          <t>MERCIER Laurent (AGRI):</t>
        </r>
        <r>
          <rPr>
            <sz val="9"/>
            <color indexed="81"/>
            <rFont val="Tahoma"/>
            <family val="2"/>
          </rPr>
          <t xml:space="preserve">
Based on 2021-22 figures</t>
        </r>
      </text>
    </comment>
    <comment ref="D60" authorId="0" shapeId="0">
      <text>
        <r>
          <rPr>
            <b/>
            <sz val="9"/>
            <color indexed="81"/>
            <rFont val="Tahoma"/>
            <family val="2"/>
          </rPr>
          <t>MERCIER Laurent (AGRI):</t>
        </r>
        <r>
          <rPr>
            <sz val="9"/>
            <color indexed="81"/>
            <rFont val="Tahoma"/>
            <family val="2"/>
          </rPr>
          <t xml:space="preserve">
Based on 2021-22 figures</t>
        </r>
      </text>
    </comment>
    <comment ref="A61" authorId="1" shapeId="0">
      <text>
        <r>
          <rPr>
            <b/>
            <sz val="9"/>
            <color indexed="81"/>
            <rFont val="Tahoma"/>
            <family val="2"/>
          </rPr>
          <t>DAELEMANS Jos (AGRI):</t>
        </r>
        <r>
          <rPr>
            <sz val="9"/>
            <color indexed="81"/>
            <rFont val="Tahoma"/>
            <family val="2"/>
          </rPr>
          <t xml:space="preserve">
cotton, groundnut, sesame, copra
</t>
        </r>
      </text>
    </comment>
    <comment ref="C61" authorId="0" shapeId="0">
      <text>
        <r>
          <rPr>
            <b/>
            <sz val="9"/>
            <color indexed="81"/>
            <rFont val="Tahoma"/>
            <family val="2"/>
          </rPr>
          <t>MERCIER Laurent (AGRI):</t>
        </r>
        <r>
          <rPr>
            <sz val="9"/>
            <color indexed="81"/>
            <rFont val="Tahoma"/>
            <family val="2"/>
          </rPr>
          <t xml:space="preserve">
Based on 2021-22 figures</t>
        </r>
      </text>
    </comment>
    <comment ref="D61" authorId="0" shapeId="0">
      <text>
        <r>
          <rPr>
            <b/>
            <sz val="9"/>
            <color indexed="81"/>
            <rFont val="Tahoma"/>
            <family val="2"/>
          </rPr>
          <t>MERCIER Laurent (AGRI):</t>
        </r>
        <r>
          <rPr>
            <sz val="9"/>
            <color indexed="81"/>
            <rFont val="Tahoma"/>
            <family val="2"/>
          </rPr>
          <t xml:space="preserve">
Based on 2021-22 figures</t>
        </r>
      </text>
    </comment>
    <comment ref="C65" authorId="0" shapeId="0">
      <text>
        <r>
          <rPr>
            <b/>
            <sz val="9"/>
            <color indexed="81"/>
            <rFont val="Tahoma"/>
            <family val="2"/>
          </rPr>
          <t>MERCIER Laurent (AGRI):</t>
        </r>
        <r>
          <rPr>
            <sz val="9"/>
            <color indexed="81"/>
            <rFont val="Tahoma"/>
            <family val="2"/>
          </rPr>
          <t xml:space="preserve">
Based on 2021-22 figures</t>
        </r>
      </text>
    </comment>
    <comment ref="D65" authorId="0" shapeId="0">
      <text>
        <r>
          <rPr>
            <b/>
            <sz val="9"/>
            <color indexed="81"/>
            <rFont val="Tahoma"/>
            <family val="2"/>
          </rPr>
          <t>MERCIER Laurent (AGRI):</t>
        </r>
        <r>
          <rPr>
            <sz val="9"/>
            <color indexed="81"/>
            <rFont val="Tahoma"/>
            <family val="2"/>
          </rPr>
          <t xml:space="preserve">
Based on 2021-22 figures</t>
        </r>
      </text>
    </comment>
    <comment ref="C66" authorId="0" shapeId="0">
      <text>
        <r>
          <rPr>
            <b/>
            <sz val="9"/>
            <color indexed="81"/>
            <rFont val="Tahoma"/>
            <family val="2"/>
          </rPr>
          <t>MERCIER Laurent (AGRI):</t>
        </r>
        <r>
          <rPr>
            <sz val="9"/>
            <color indexed="81"/>
            <rFont val="Tahoma"/>
            <family val="2"/>
          </rPr>
          <t xml:space="preserve">
Based on 2021-22 figures</t>
        </r>
      </text>
    </comment>
    <comment ref="D66" authorId="0" shapeId="0">
      <text>
        <r>
          <rPr>
            <b/>
            <sz val="9"/>
            <color indexed="81"/>
            <rFont val="Tahoma"/>
            <family val="2"/>
          </rPr>
          <t>MERCIER Laurent (AGRI):</t>
        </r>
        <r>
          <rPr>
            <sz val="9"/>
            <color indexed="81"/>
            <rFont val="Tahoma"/>
            <family val="2"/>
          </rPr>
          <t xml:space="preserve">
Based on 2021-22 figures</t>
        </r>
      </text>
    </comment>
    <comment ref="C67" authorId="0" shapeId="0">
      <text>
        <r>
          <rPr>
            <b/>
            <sz val="9"/>
            <color indexed="81"/>
            <rFont val="Tahoma"/>
            <family val="2"/>
          </rPr>
          <t>MERCIER Laurent (AGRI):</t>
        </r>
        <r>
          <rPr>
            <sz val="9"/>
            <color indexed="81"/>
            <rFont val="Tahoma"/>
            <family val="2"/>
          </rPr>
          <t xml:space="preserve">
Based on 2021-22 figures</t>
        </r>
      </text>
    </comment>
    <comment ref="D67" authorId="0" shapeId="0">
      <text>
        <r>
          <rPr>
            <b/>
            <sz val="9"/>
            <color indexed="81"/>
            <rFont val="Tahoma"/>
            <family val="2"/>
          </rPr>
          <t>MERCIER Laurent (AGRI):</t>
        </r>
        <r>
          <rPr>
            <sz val="9"/>
            <color indexed="81"/>
            <rFont val="Tahoma"/>
            <family val="2"/>
          </rPr>
          <t xml:space="preserve">
Based on 2021-22 figures</t>
        </r>
      </text>
    </comment>
    <comment ref="B68" authorId="0" shapeId="0">
      <text>
        <r>
          <rPr>
            <b/>
            <sz val="9"/>
            <color indexed="81"/>
            <rFont val="Tahoma"/>
            <family val="2"/>
          </rPr>
          <t>MERCIER Laurent (AGRI):</t>
        </r>
        <r>
          <rPr>
            <sz val="9"/>
            <color indexed="81"/>
            <rFont val="Tahoma"/>
            <family val="2"/>
          </rPr>
          <t xml:space="preserve">
Estimation based on 2021 data</t>
        </r>
      </text>
    </comment>
    <comment ref="C68" authorId="0" shapeId="0">
      <text>
        <r>
          <rPr>
            <b/>
            <sz val="9"/>
            <color indexed="81"/>
            <rFont val="Tahoma"/>
            <family val="2"/>
          </rPr>
          <t>MERCIER Laurent (AGRI):</t>
        </r>
        <r>
          <rPr>
            <sz val="9"/>
            <color indexed="81"/>
            <rFont val="Tahoma"/>
            <family val="2"/>
          </rPr>
          <t xml:space="preserve">
Based on 2021-22 figures</t>
        </r>
      </text>
    </comment>
    <comment ref="D68" authorId="0" shapeId="0">
      <text>
        <r>
          <rPr>
            <b/>
            <sz val="9"/>
            <color indexed="81"/>
            <rFont val="Tahoma"/>
            <family val="2"/>
          </rPr>
          <t>MERCIER Laurent (AGRI):</t>
        </r>
        <r>
          <rPr>
            <sz val="9"/>
            <color indexed="81"/>
            <rFont val="Tahoma"/>
            <family val="2"/>
          </rPr>
          <t xml:space="preserve">
Based on 2021-22 figures</t>
        </r>
      </text>
    </comment>
    <comment ref="C69" authorId="0" shapeId="0">
      <text>
        <r>
          <rPr>
            <b/>
            <sz val="9"/>
            <color indexed="81"/>
            <rFont val="Tahoma"/>
            <family val="2"/>
          </rPr>
          <t>MERCIER Laurent (AGRI):</t>
        </r>
        <r>
          <rPr>
            <sz val="9"/>
            <color indexed="81"/>
            <rFont val="Tahoma"/>
            <family val="2"/>
          </rPr>
          <t xml:space="preserve">
Based on 2021-22 figures</t>
        </r>
      </text>
    </comment>
    <comment ref="D69" authorId="0" shapeId="0">
      <text>
        <r>
          <rPr>
            <b/>
            <sz val="9"/>
            <color indexed="81"/>
            <rFont val="Tahoma"/>
            <family val="2"/>
          </rPr>
          <t>MERCIER Laurent (AGRI):</t>
        </r>
        <r>
          <rPr>
            <sz val="9"/>
            <color indexed="81"/>
            <rFont val="Tahoma"/>
            <family val="2"/>
          </rPr>
          <t xml:space="preserve">
Based on 2021-22 figures</t>
        </r>
      </text>
    </comment>
    <comment ref="C70" authorId="0" shapeId="0">
      <text>
        <r>
          <rPr>
            <b/>
            <sz val="9"/>
            <color indexed="81"/>
            <rFont val="Tahoma"/>
            <family val="2"/>
          </rPr>
          <t>MERCIER Laurent (AGRI):</t>
        </r>
        <r>
          <rPr>
            <sz val="9"/>
            <color indexed="81"/>
            <rFont val="Tahoma"/>
            <family val="2"/>
          </rPr>
          <t xml:space="preserve">
Based on 2021-22 figures</t>
        </r>
      </text>
    </comment>
    <comment ref="D70" authorId="0" shapeId="0">
      <text>
        <r>
          <rPr>
            <b/>
            <sz val="9"/>
            <color indexed="81"/>
            <rFont val="Tahoma"/>
            <family val="2"/>
          </rPr>
          <t>MERCIER Laurent (AGRI):</t>
        </r>
        <r>
          <rPr>
            <sz val="9"/>
            <color indexed="81"/>
            <rFont val="Tahoma"/>
            <family val="2"/>
          </rPr>
          <t xml:space="preserve">
Based on 2021-22 figures</t>
        </r>
      </text>
    </comment>
    <comment ref="C71" authorId="0" shapeId="0">
      <text>
        <r>
          <rPr>
            <b/>
            <sz val="9"/>
            <color indexed="81"/>
            <rFont val="Tahoma"/>
            <family val="2"/>
          </rPr>
          <t>MERCIER Laurent (AGRI):</t>
        </r>
        <r>
          <rPr>
            <sz val="9"/>
            <color indexed="81"/>
            <rFont val="Tahoma"/>
            <family val="2"/>
          </rPr>
          <t xml:space="preserve">
Based on 2021-22 figures</t>
        </r>
      </text>
    </comment>
    <comment ref="D71" authorId="0" shapeId="0">
      <text>
        <r>
          <rPr>
            <b/>
            <sz val="9"/>
            <color indexed="81"/>
            <rFont val="Tahoma"/>
            <family val="2"/>
          </rPr>
          <t>MERCIER Laurent (AGRI):</t>
        </r>
        <r>
          <rPr>
            <sz val="9"/>
            <color indexed="81"/>
            <rFont val="Tahoma"/>
            <family val="2"/>
          </rPr>
          <t xml:space="preserve">
Based on 2021-22 figures</t>
        </r>
      </text>
    </comment>
    <comment ref="C72" authorId="0" shapeId="0">
      <text>
        <r>
          <rPr>
            <b/>
            <sz val="9"/>
            <color indexed="81"/>
            <rFont val="Tahoma"/>
            <family val="2"/>
          </rPr>
          <t>MERCIER Laurent (AGRI):</t>
        </r>
        <r>
          <rPr>
            <sz val="9"/>
            <color indexed="81"/>
            <rFont val="Tahoma"/>
            <family val="2"/>
          </rPr>
          <t xml:space="preserve">
Based on 2021-22 figures</t>
        </r>
      </text>
    </comment>
    <comment ref="D72" authorId="0" shapeId="0">
      <text>
        <r>
          <rPr>
            <b/>
            <sz val="9"/>
            <color indexed="81"/>
            <rFont val="Tahoma"/>
            <family val="2"/>
          </rPr>
          <t>MERCIER Laurent (AGRI):</t>
        </r>
        <r>
          <rPr>
            <sz val="9"/>
            <color indexed="81"/>
            <rFont val="Tahoma"/>
            <family val="2"/>
          </rPr>
          <t xml:space="preserve">
Based on 2021-22 figures</t>
        </r>
      </text>
    </comment>
    <comment ref="C76" authorId="0" shapeId="0">
      <text>
        <r>
          <rPr>
            <b/>
            <sz val="9"/>
            <color indexed="81"/>
            <rFont val="Tahoma"/>
            <family val="2"/>
          </rPr>
          <t>MERCIER Laurent (AGRI):</t>
        </r>
        <r>
          <rPr>
            <sz val="9"/>
            <color indexed="81"/>
            <rFont val="Tahoma"/>
            <family val="2"/>
          </rPr>
          <t xml:space="preserve">
Based on 2021-22 figures</t>
        </r>
      </text>
    </comment>
    <comment ref="D76" authorId="0" shapeId="0">
      <text>
        <r>
          <rPr>
            <b/>
            <sz val="9"/>
            <color indexed="81"/>
            <rFont val="Tahoma"/>
            <family val="2"/>
          </rPr>
          <t>MERCIER Laurent (AGRI):</t>
        </r>
        <r>
          <rPr>
            <sz val="9"/>
            <color indexed="81"/>
            <rFont val="Tahoma"/>
            <family val="2"/>
          </rPr>
          <t xml:space="preserve">
Based on 2021-22 figures</t>
        </r>
      </text>
    </comment>
    <comment ref="C77" authorId="0" shapeId="0">
      <text>
        <r>
          <rPr>
            <b/>
            <sz val="9"/>
            <color indexed="81"/>
            <rFont val="Tahoma"/>
            <family val="2"/>
          </rPr>
          <t>MERCIER Laurent (AGRI):</t>
        </r>
        <r>
          <rPr>
            <sz val="9"/>
            <color indexed="81"/>
            <rFont val="Tahoma"/>
            <family val="2"/>
          </rPr>
          <t xml:space="preserve">
Based on 2021-22 figures</t>
        </r>
      </text>
    </comment>
    <comment ref="D77" authorId="0" shapeId="0">
      <text>
        <r>
          <rPr>
            <b/>
            <sz val="9"/>
            <color indexed="81"/>
            <rFont val="Tahoma"/>
            <family val="2"/>
          </rPr>
          <t>MERCIER Laurent (AGRI):</t>
        </r>
        <r>
          <rPr>
            <sz val="9"/>
            <color indexed="81"/>
            <rFont val="Tahoma"/>
            <family val="2"/>
          </rPr>
          <t xml:space="preserve">
Based on 2021-22 figures</t>
        </r>
      </text>
    </comment>
    <comment ref="C78" authorId="0" shapeId="0">
      <text>
        <r>
          <rPr>
            <b/>
            <sz val="9"/>
            <color indexed="81"/>
            <rFont val="Tahoma"/>
            <family val="2"/>
          </rPr>
          <t>MERCIER Laurent (AGRI):</t>
        </r>
        <r>
          <rPr>
            <sz val="9"/>
            <color indexed="81"/>
            <rFont val="Tahoma"/>
            <family val="2"/>
          </rPr>
          <t xml:space="preserve">
Based on 2021-22 figures</t>
        </r>
      </text>
    </comment>
    <comment ref="D78" authorId="0" shapeId="0">
      <text>
        <r>
          <rPr>
            <b/>
            <sz val="9"/>
            <color indexed="81"/>
            <rFont val="Tahoma"/>
            <family val="2"/>
          </rPr>
          <t>MERCIER Laurent (AGRI):</t>
        </r>
        <r>
          <rPr>
            <sz val="9"/>
            <color indexed="81"/>
            <rFont val="Tahoma"/>
            <family val="2"/>
          </rPr>
          <t xml:space="preserve">
Based on 2021-22 figures</t>
        </r>
      </text>
    </comment>
    <comment ref="C79" authorId="0" shapeId="0">
      <text>
        <r>
          <rPr>
            <b/>
            <sz val="9"/>
            <color indexed="81"/>
            <rFont val="Tahoma"/>
            <family val="2"/>
          </rPr>
          <t>MERCIER Laurent (AGRI):</t>
        </r>
        <r>
          <rPr>
            <sz val="9"/>
            <color indexed="81"/>
            <rFont val="Tahoma"/>
            <family val="2"/>
          </rPr>
          <t xml:space="preserve">
Based on 2021-22 figures</t>
        </r>
      </text>
    </comment>
    <comment ref="D79" authorId="0" shapeId="0">
      <text>
        <r>
          <rPr>
            <b/>
            <sz val="9"/>
            <color indexed="81"/>
            <rFont val="Tahoma"/>
            <family val="2"/>
          </rPr>
          <t>MERCIER Laurent (AGRI):</t>
        </r>
        <r>
          <rPr>
            <sz val="9"/>
            <color indexed="81"/>
            <rFont val="Tahoma"/>
            <family val="2"/>
          </rPr>
          <t xml:space="preserve">
Based on 2021-22 figures</t>
        </r>
      </text>
    </comment>
    <comment ref="B84" authorId="0" shapeId="0">
      <text>
        <r>
          <rPr>
            <b/>
            <sz val="9"/>
            <color indexed="81"/>
            <rFont val="Tahoma"/>
            <family val="2"/>
          </rPr>
          <t>MERCIER Laurent (AGRI):</t>
        </r>
        <r>
          <rPr>
            <sz val="9"/>
            <color indexed="81"/>
            <rFont val="Tahoma"/>
            <family val="2"/>
          </rPr>
          <t xml:space="preserve">
Based on 2020-21 figures</t>
        </r>
      </text>
    </comment>
    <comment ref="B85" authorId="0" shapeId="0">
      <text>
        <r>
          <rPr>
            <b/>
            <sz val="9"/>
            <color indexed="81"/>
            <rFont val="Tahoma"/>
            <family val="2"/>
          </rPr>
          <t>MERCIER Laurent (AGRI):</t>
        </r>
        <r>
          <rPr>
            <sz val="9"/>
            <color indexed="81"/>
            <rFont val="Tahoma"/>
            <family val="2"/>
          </rPr>
          <t xml:space="preserve">
Based on 2020-21 figures</t>
        </r>
      </text>
    </comment>
    <comment ref="B86" authorId="0" shapeId="0">
      <text>
        <r>
          <rPr>
            <b/>
            <sz val="9"/>
            <color indexed="81"/>
            <rFont val="Tahoma"/>
            <family val="2"/>
          </rPr>
          <t>MERCIER Laurent (AGRI):</t>
        </r>
        <r>
          <rPr>
            <sz val="9"/>
            <color indexed="81"/>
            <rFont val="Tahoma"/>
            <family val="2"/>
          </rPr>
          <t xml:space="preserve">
Based on 2020-21 figures</t>
        </r>
      </text>
    </comment>
    <comment ref="B87" authorId="0" shapeId="0">
      <text>
        <r>
          <rPr>
            <b/>
            <sz val="9"/>
            <color indexed="81"/>
            <rFont val="Tahoma"/>
            <family val="2"/>
          </rPr>
          <t>MERCIER Laurent (AGRI):</t>
        </r>
        <r>
          <rPr>
            <sz val="9"/>
            <color indexed="81"/>
            <rFont val="Tahoma"/>
            <family val="2"/>
          </rPr>
          <t xml:space="preserve">
Based on 2021-22 figures</t>
        </r>
      </text>
    </comment>
    <comment ref="C87" authorId="0" shapeId="0">
      <text>
        <r>
          <rPr>
            <b/>
            <sz val="9"/>
            <color indexed="81"/>
            <rFont val="Tahoma"/>
            <family val="2"/>
          </rPr>
          <t>MERCIER Laurent (AGRI):</t>
        </r>
        <r>
          <rPr>
            <sz val="9"/>
            <color indexed="81"/>
            <rFont val="Tahoma"/>
            <family val="2"/>
          </rPr>
          <t xml:space="preserve">
Based on 2021-22 figures</t>
        </r>
      </text>
    </comment>
    <comment ref="D87" authorId="0" shapeId="0">
      <text>
        <r>
          <rPr>
            <b/>
            <sz val="9"/>
            <color indexed="81"/>
            <rFont val="Tahoma"/>
            <family val="2"/>
          </rPr>
          <t>MERCIER Laurent (AGRI):</t>
        </r>
        <r>
          <rPr>
            <sz val="9"/>
            <color indexed="81"/>
            <rFont val="Tahoma"/>
            <family val="2"/>
          </rPr>
          <t xml:space="preserve">
Based on 2021-22 figures</t>
        </r>
      </text>
    </comment>
  </commentList>
</comments>
</file>

<file path=xl/comments10.xml><?xml version="1.0" encoding="utf-8"?>
<comments xmlns="http://schemas.openxmlformats.org/spreadsheetml/2006/main">
  <authors>
    <author>DAELEMANS Jos (AGRI)</author>
  </authors>
  <commentList>
    <comment ref="A61" authorId="0" shapeId="0">
      <text>
        <r>
          <rPr>
            <b/>
            <sz val="9"/>
            <color indexed="81"/>
            <rFont val="Tahoma"/>
            <family val="2"/>
          </rPr>
          <t>DAELEMANS Jos (AGRI):</t>
        </r>
        <r>
          <rPr>
            <sz val="9"/>
            <color indexed="81"/>
            <rFont val="Tahoma"/>
            <family val="2"/>
          </rPr>
          <t xml:space="preserve">
cotton, groundnutsesame, copra
</t>
        </r>
      </text>
    </comment>
  </commentList>
</comments>
</file>

<file path=xl/comments11.xml><?xml version="1.0" encoding="utf-8"?>
<comments xmlns="http://schemas.openxmlformats.org/spreadsheetml/2006/main">
  <authors>
    <author>DAELEMANS Jos (AGRI)</author>
  </authors>
  <commentList>
    <comment ref="A61" authorId="0" shapeId="0">
      <text>
        <r>
          <rPr>
            <b/>
            <sz val="9"/>
            <color indexed="81"/>
            <rFont val="Tahoma"/>
            <family val="2"/>
          </rPr>
          <t>DAELEMANS Jos (AGRI):</t>
        </r>
        <r>
          <rPr>
            <sz val="9"/>
            <color indexed="81"/>
            <rFont val="Tahoma"/>
            <family val="2"/>
          </rPr>
          <t xml:space="preserve">
cotton, groundnutsesame, copra
</t>
        </r>
      </text>
    </comment>
  </commentList>
</comments>
</file>

<file path=xl/comments12.xml><?xml version="1.0" encoding="utf-8"?>
<comments xmlns="http://schemas.openxmlformats.org/spreadsheetml/2006/main">
  <authors>
    <author>DAELEMANS Jos (AGRI)</author>
  </authors>
  <commentList>
    <comment ref="A61" authorId="0" shapeId="0">
      <text>
        <r>
          <rPr>
            <b/>
            <sz val="9"/>
            <color indexed="81"/>
            <rFont val="Tahoma"/>
            <family val="2"/>
          </rPr>
          <t>DAELEMANS Jos (AGRI):</t>
        </r>
        <r>
          <rPr>
            <sz val="9"/>
            <color indexed="81"/>
            <rFont val="Tahoma"/>
            <family val="2"/>
          </rPr>
          <t xml:space="preserve">
cotton, groundnutsesame, copra
</t>
        </r>
      </text>
    </comment>
  </commentList>
</comments>
</file>

<file path=xl/comments2.xml><?xml version="1.0" encoding="utf-8"?>
<comments xmlns="http://schemas.openxmlformats.org/spreadsheetml/2006/main">
  <authors>
    <author>DAELEMANS Jos (AGRI)</author>
    <author>MERCIER Laurent (AGRI)</author>
  </authors>
  <commentList>
    <comment ref="A61" authorId="0" shapeId="0">
      <text>
        <r>
          <rPr>
            <b/>
            <sz val="9"/>
            <color indexed="81"/>
            <rFont val="Tahoma"/>
            <family val="2"/>
          </rPr>
          <t>DAELEMANS Jos (AGRI):</t>
        </r>
        <r>
          <rPr>
            <sz val="9"/>
            <color indexed="81"/>
            <rFont val="Tahoma"/>
            <family val="2"/>
          </rPr>
          <t xml:space="preserve">
cotton, groundnut, sesame, copra
</t>
        </r>
      </text>
    </comment>
    <comment ref="B84" authorId="1" shapeId="0">
      <text>
        <r>
          <rPr>
            <b/>
            <sz val="9"/>
            <color indexed="81"/>
            <rFont val="Tahoma"/>
            <family val="2"/>
          </rPr>
          <t>MERCIER Laurent (AGRI):</t>
        </r>
        <r>
          <rPr>
            <sz val="9"/>
            <color indexed="81"/>
            <rFont val="Tahoma"/>
            <family val="2"/>
          </rPr>
          <t xml:space="preserve">
Based on 2020-21 figures</t>
        </r>
      </text>
    </comment>
    <comment ref="B85" authorId="1" shapeId="0">
      <text>
        <r>
          <rPr>
            <b/>
            <sz val="9"/>
            <color indexed="81"/>
            <rFont val="Tahoma"/>
            <family val="2"/>
          </rPr>
          <t>MERCIER Laurent (AGRI):</t>
        </r>
        <r>
          <rPr>
            <sz val="9"/>
            <color indexed="81"/>
            <rFont val="Tahoma"/>
            <family val="2"/>
          </rPr>
          <t xml:space="preserve">
Based on 2020-21 figures</t>
        </r>
      </text>
    </comment>
    <comment ref="B86" authorId="1" shapeId="0">
      <text>
        <r>
          <rPr>
            <b/>
            <sz val="9"/>
            <color indexed="81"/>
            <rFont val="Tahoma"/>
            <family val="2"/>
          </rPr>
          <t>MERCIER Laurent (AGRI):</t>
        </r>
        <r>
          <rPr>
            <sz val="9"/>
            <color indexed="81"/>
            <rFont val="Tahoma"/>
            <family val="2"/>
          </rPr>
          <t xml:space="preserve">
Based on 2020-21 figures</t>
        </r>
      </text>
    </comment>
  </commentList>
</comments>
</file>

<file path=xl/comments3.xml><?xml version="1.0" encoding="utf-8"?>
<comments xmlns="http://schemas.openxmlformats.org/spreadsheetml/2006/main">
  <authors>
    <author>DAELEMANS Jos (AGRI)</author>
  </authors>
  <commentList>
    <comment ref="A61" authorId="0" shapeId="0">
      <text>
        <r>
          <rPr>
            <b/>
            <sz val="9"/>
            <color indexed="81"/>
            <rFont val="Tahoma"/>
            <family val="2"/>
          </rPr>
          <t>DAELEMANS Jos (AGRI):</t>
        </r>
        <r>
          <rPr>
            <sz val="9"/>
            <color indexed="81"/>
            <rFont val="Tahoma"/>
            <family val="2"/>
          </rPr>
          <t xml:space="preserve">
cotton, groundnut, sesame, copra
</t>
        </r>
      </text>
    </comment>
  </commentList>
</comments>
</file>

<file path=xl/comments4.xml><?xml version="1.0" encoding="utf-8"?>
<comments xmlns="http://schemas.openxmlformats.org/spreadsheetml/2006/main">
  <authors>
    <author>VAN BOMMEL Karel (AGRI)</author>
    <author>DAELEMANS Jos (AGRI)</author>
  </authors>
  <commentList>
    <comment ref="C23" authorId="0" shapeId="0">
      <text>
        <r>
          <rPr>
            <b/>
            <sz val="9"/>
            <color indexed="81"/>
            <rFont val="Tahoma"/>
            <family val="2"/>
          </rPr>
          <t>VAN BOMMEL Karel (AGRI):</t>
        </r>
        <r>
          <rPr>
            <sz val="9"/>
            <color indexed="81"/>
            <rFont val="Tahoma"/>
            <family val="2"/>
          </rPr>
          <t xml:space="preserve">
15.6</t>
        </r>
      </text>
    </comment>
    <comment ref="D24" authorId="0" shapeId="0">
      <text>
        <r>
          <rPr>
            <b/>
            <sz val="9"/>
            <color indexed="81"/>
            <rFont val="Tahoma"/>
            <family val="2"/>
          </rPr>
          <t>VAN BOMMEL Karel (AGRI):</t>
        </r>
        <r>
          <rPr>
            <sz val="9"/>
            <color indexed="81"/>
            <rFont val="Tahoma"/>
            <family val="2"/>
          </rPr>
          <t xml:space="preserve">
0.3
</t>
        </r>
      </text>
    </comment>
    <comment ref="A61" authorId="1" shapeId="0">
      <text>
        <r>
          <rPr>
            <b/>
            <sz val="9"/>
            <color indexed="81"/>
            <rFont val="Tahoma"/>
            <family val="2"/>
          </rPr>
          <t>DAELEMANS Jos (AGRI):</t>
        </r>
        <r>
          <rPr>
            <sz val="9"/>
            <color indexed="81"/>
            <rFont val="Tahoma"/>
            <family val="2"/>
          </rPr>
          <t xml:space="preserve">
cotton, groundnut, sesame, copra
</t>
        </r>
      </text>
    </comment>
  </commentList>
</comments>
</file>

<file path=xl/comments5.xml><?xml version="1.0" encoding="utf-8"?>
<comments xmlns="http://schemas.openxmlformats.org/spreadsheetml/2006/main">
  <authors>
    <author>DAELEMANS Jos (AGRI)</author>
  </authors>
  <commentList>
    <comment ref="A61" authorId="0" shapeId="0">
      <text>
        <r>
          <rPr>
            <b/>
            <sz val="9"/>
            <color indexed="81"/>
            <rFont val="Tahoma"/>
            <family val="2"/>
          </rPr>
          <t>DAELEMANS Jos (AGRI):</t>
        </r>
        <r>
          <rPr>
            <sz val="9"/>
            <color indexed="81"/>
            <rFont val="Tahoma"/>
            <family val="2"/>
          </rPr>
          <t xml:space="preserve">
cotton, groundnutsesame, copra
</t>
        </r>
      </text>
    </comment>
  </commentList>
</comments>
</file>

<file path=xl/comments6.xml><?xml version="1.0" encoding="utf-8"?>
<comments xmlns="http://schemas.openxmlformats.org/spreadsheetml/2006/main">
  <authors>
    <author>DAELEMANS Jos (AGRI)</author>
  </authors>
  <commentList>
    <comment ref="A61" authorId="0" shapeId="0">
      <text>
        <r>
          <rPr>
            <b/>
            <sz val="9"/>
            <color indexed="81"/>
            <rFont val="Tahoma"/>
            <family val="2"/>
          </rPr>
          <t>DAELEMANS Jos (AGRI):</t>
        </r>
        <r>
          <rPr>
            <sz val="9"/>
            <color indexed="81"/>
            <rFont val="Tahoma"/>
            <family val="2"/>
          </rPr>
          <t xml:space="preserve">
cotton, groundnutsesame, copra
</t>
        </r>
      </text>
    </comment>
  </commentList>
</comments>
</file>

<file path=xl/comments7.xml><?xml version="1.0" encoding="utf-8"?>
<comments xmlns="http://schemas.openxmlformats.org/spreadsheetml/2006/main">
  <authors>
    <author>DAELEMANS Jos (AGRI)</author>
  </authors>
  <commentList>
    <comment ref="A61" authorId="0" shapeId="0">
      <text>
        <r>
          <rPr>
            <b/>
            <sz val="9"/>
            <color indexed="81"/>
            <rFont val="Tahoma"/>
            <family val="2"/>
          </rPr>
          <t>DAELEMANS Jos (AGRI):</t>
        </r>
        <r>
          <rPr>
            <sz val="9"/>
            <color indexed="81"/>
            <rFont val="Tahoma"/>
            <family val="2"/>
          </rPr>
          <t xml:space="preserve">
cotton, groundnutsesame, copra
</t>
        </r>
      </text>
    </comment>
  </commentList>
</comments>
</file>

<file path=xl/comments8.xml><?xml version="1.0" encoding="utf-8"?>
<comments xmlns="http://schemas.openxmlformats.org/spreadsheetml/2006/main">
  <authors>
    <author>DAELEMANS Jos (AGRI)</author>
  </authors>
  <commentList>
    <comment ref="A61" authorId="0" shapeId="0">
      <text>
        <r>
          <rPr>
            <b/>
            <sz val="9"/>
            <color indexed="81"/>
            <rFont val="Tahoma"/>
            <family val="2"/>
          </rPr>
          <t>DAELEMANS Jos (AGRI):</t>
        </r>
        <r>
          <rPr>
            <sz val="9"/>
            <color indexed="81"/>
            <rFont val="Tahoma"/>
            <family val="2"/>
          </rPr>
          <t xml:space="preserve">
cotton, groundnutsesame, copra
</t>
        </r>
      </text>
    </comment>
  </commentList>
</comments>
</file>

<file path=xl/comments9.xml><?xml version="1.0" encoding="utf-8"?>
<comments xmlns="http://schemas.openxmlformats.org/spreadsheetml/2006/main">
  <authors>
    <author>DAELEMANS Jos (AGRI)</author>
  </authors>
  <commentList>
    <comment ref="A61" authorId="0" shapeId="0">
      <text>
        <r>
          <rPr>
            <b/>
            <sz val="9"/>
            <color indexed="81"/>
            <rFont val="Tahoma"/>
            <family val="2"/>
          </rPr>
          <t>DAELEMANS Jos (AGRI):</t>
        </r>
        <r>
          <rPr>
            <sz val="9"/>
            <color indexed="81"/>
            <rFont val="Tahoma"/>
            <family val="2"/>
          </rPr>
          <t xml:space="preserve">
cotton, groundnutsesame, copra
</t>
        </r>
      </text>
    </comment>
  </commentList>
</comments>
</file>

<file path=xl/sharedStrings.xml><?xml version="1.0" encoding="utf-8"?>
<sst xmlns="http://schemas.openxmlformats.org/spreadsheetml/2006/main" count="1543" uniqueCount="324">
  <si>
    <t>EU Feed Protein Balance Sheet (forecast)</t>
  </si>
  <si>
    <t>2021/22</t>
  </si>
  <si>
    <t>Million tonnes</t>
  </si>
  <si>
    <t>Protein content 
(feed use)
(G)</t>
  </si>
  <si>
    <t>Million tonnes 
 (crude protein)</t>
  </si>
  <si>
    <t>million tonnes</t>
  </si>
  <si>
    <t>Protein source</t>
  </si>
  <si>
    <t>Total EU production
(A)</t>
  </si>
  <si>
    <t>EU 
 imports
(B)</t>
  </si>
  <si>
    <t>EU  
exports
(C)</t>
  </si>
  <si>
    <t>Total EU domestic use
(D)</t>
  </si>
  <si>
    <t>EU total
 feed use
(E)</t>
  </si>
  <si>
    <t>Feed use 
EU origin
(F)</t>
  </si>
  <si>
    <t>EU total
 feed use
(H) = (E) * (G)</t>
  </si>
  <si>
    <t>Feed use 
EU origin
(I) = (F) * (G)</t>
  </si>
  <si>
    <t>% feed use of EU origin
(I) / (H)</t>
  </si>
  <si>
    <t>% of total feed use</t>
  </si>
  <si>
    <t>change last year</t>
  </si>
  <si>
    <t>CROPS</t>
  </si>
  <si>
    <r>
      <t xml:space="preserve">CEREALS </t>
    </r>
    <r>
      <rPr>
        <i/>
        <sz val="12"/>
        <color theme="0"/>
        <rFont val="Arial"/>
        <family val="2"/>
      </rPr>
      <t>(of which)</t>
    </r>
  </si>
  <si>
    <r>
      <t xml:space="preserve">OILSEEDS  </t>
    </r>
    <r>
      <rPr>
        <i/>
        <sz val="12"/>
        <color theme="0"/>
        <rFont val="Arial"/>
        <family val="2"/>
      </rPr>
      <t>(feed use without crushing)</t>
    </r>
  </si>
  <si>
    <t>(columns (E) and (F))</t>
  </si>
  <si>
    <t>Soya beans</t>
  </si>
  <si>
    <t>Rapeseed</t>
  </si>
  <si>
    <t>Sunflowerseed</t>
  </si>
  <si>
    <r>
      <t xml:space="preserve">PULSES  </t>
    </r>
    <r>
      <rPr>
        <i/>
        <sz val="12"/>
        <color theme="0"/>
        <rFont val="Arial"/>
        <family val="2"/>
      </rPr>
      <t>(of which)</t>
    </r>
  </si>
  <si>
    <t>Field peas</t>
  </si>
  <si>
    <t>Broad beans</t>
  </si>
  <si>
    <t>Lupins</t>
  </si>
  <si>
    <t>Other protein crops</t>
  </si>
  <si>
    <t>CO-PRODUCTS</t>
  </si>
  <si>
    <t>OILSEED MEALS</t>
  </si>
  <si>
    <r>
      <t xml:space="preserve">SOYA BEAN MEALS </t>
    </r>
    <r>
      <rPr>
        <i/>
        <sz val="12"/>
        <color theme="0"/>
        <rFont val="Arial"/>
        <family val="2"/>
      </rPr>
      <t>(of which)</t>
    </r>
  </si>
  <si>
    <t>Soya bean meal (from EU soya bean production)</t>
  </si>
  <si>
    <t>Soya bean meal (imported soya bean crushing)</t>
  </si>
  <si>
    <t>Soya bean meal (traded as such)</t>
  </si>
  <si>
    <t>Soya bean protein concentrate</t>
  </si>
  <si>
    <r>
      <t xml:space="preserve">RAPESEED MEALS </t>
    </r>
    <r>
      <rPr>
        <i/>
        <sz val="12"/>
        <color theme="0"/>
        <rFont val="Arial"/>
        <family val="2"/>
      </rPr>
      <t>(of which)</t>
    </r>
  </si>
  <si>
    <t>Rapeseed meal (from EU rapeseed production)</t>
  </si>
  <si>
    <t>Rapeseed meal (imported rapeseed crushing)</t>
  </si>
  <si>
    <t>Rapeseed meal (traded as such)</t>
  </si>
  <si>
    <r>
      <t xml:space="preserve">SUNFLOWER MEALS </t>
    </r>
    <r>
      <rPr>
        <i/>
        <sz val="12"/>
        <color theme="0"/>
        <rFont val="Arial"/>
        <family val="2"/>
      </rPr>
      <t>(of which)</t>
    </r>
  </si>
  <si>
    <t>Sunflower meal (from EU sunflowerseed production)</t>
  </si>
  <si>
    <t>Sunflower meal (imported sunflowerseed crushing)</t>
  </si>
  <si>
    <t>Sunflower meal (traded as such)</t>
  </si>
  <si>
    <r>
      <t xml:space="preserve">OTHER OILSEED MEALS </t>
    </r>
    <r>
      <rPr>
        <i/>
        <sz val="12"/>
        <color theme="0"/>
        <rFont val="Arial"/>
        <family val="2"/>
      </rPr>
      <t>(of which)</t>
    </r>
  </si>
  <si>
    <t>Palmkern meal</t>
  </si>
  <si>
    <t>Linseed meal</t>
  </si>
  <si>
    <t>Other oilseed meals</t>
  </si>
  <si>
    <t>OTHERS CO-PRODUCTS</t>
  </si>
  <si>
    <t>Starch industry's medium protein products (15-30%)</t>
  </si>
  <si>
    <t>Starch industry's super protein products (60-90%)</t>
  </si>
  <si>
    <t>Distillers' dried grains with solubles</t>
  </si>
  <si>
    <t>30% wheat 27% maize</t>
  </si>
  <si>
    <t>Wet distillers' grain</t>
  </si>
  <si>
    <t>Wheat bran</t>
  </si>
  <si>
    <t>Citrus pulp</t>
  </si>
  <si>
    <t>Beet pulp pellets</t>
  </si>
  <si>
    <t>Molasses</t>
  </si>
  <si>
    <t>10.7% beet
4.2%  cane</t>
  </si>
  <si>
    <t>NON-PLANT SOURCES</t>
  </si>
  <si>
    <t>(excluding on-farm use)</t>
  </si>
  <si>
    <t>Fish meal</t>
  </si>
  <si>
    <t xml:space="preserve">Whey powder </t>
  </si>
  <si>
    <t xml:space="preserve">Skimmed milk powder </t>
  </si>
  <si>
    <t>Processed animal proteins</t>
  </si>
  <si>
    <t>Former foodstuff</t>
  </si>
  <si>
    <t>ROUGHAGE</t>
  </si>
  <si>
    <t>Grass</t>
  </si>
  <si>
    <t>Silage maize</t>
  </si>
  <si>
    <t>Fodder legumes</t>
  </si>
  <si>
    <t>Dried fodder</t>
  </si>
  <si>
    <t>TOTAL</t>
  </si>
  <si>
    <t>Legend</t>
  </si>
  <si>
    <t>Low-Pro: Less than 15% protein content</t>
  </si>
  <si>
    <t>Medium-Pro: 15-30% protein content</t>
  </si>
  <si>
    <t>High-Pro: 30-50% protein content</t>
  </si>
  <si>
    <t>Super-Pro: Over 50% protein content</t>
  </si>
  <si>
    <t>There is only limited inter-changeability between proteins from different categories, for instance between proteins from cereals and proteins from soya meal (due to its amino acid pattern, soya protein is used more efficiently than other plant proteins in animal nutrition).</t>
  </si>
  <si>
    <t>2020/21</t>
  </si>
  <si>
    <t>EU Feed Protein Balance Sheet</t>
  </si>
  <si>
    <t>2019/20</t>
  </si>
  <si>
    <t>2018/19</t>
  </si>
  <si>
    <r>
      <t xml:space="preserve">CEREALS </t>
    </r>
    <r>
      <rPr>
        <i/>
        <sz val="12"/>
        <rFont val="Arial"/>
        <family val="2"/>
      </rPr>
      <t>(of which)</t>
    </r>
  </si>
  <si>
    <r>
      <t xml:space="preserve">OILSEEDS  </t>
    </r>
    <r>
      <rPr>
        <i/>
        <sz val="12"/>
        <rFont val="Arial"/>
        <family val="2"/>
      </rPr>
      <t>(feed use without crushing)</t>
    </r>
  </si>
  <si>
    <t>(columns ( E) and (F))</t>
  </si>
  <si>
    <r>
      <t xml:space="preserve">PULSES  </t>
    </r>
    <r>
      <rPr>
        <i/>
        <sz val="12"/>
        <rFont val="Arial"/>
        <family val="2"/>
      </rPr>
      <t>(of which)</t>
    </r>
  </si>
  <si>
    <t>Field Peas</t>
  </si>
  <si>
    <r>
      <t xml:space="preserve">SOYA BEAN MEALS </t>
    </r>
    <r>
      <rPr>
        <i/>
        <sz val="12"/>
        <rFont val="Arial"/>
        <family val="2"/>
      </rPr>
      <t>(of which)</t>
    </r>
  </si>
  <si>
    <t>Soya bean Protein Concentrate</t>
  </si>
  <si>
    <r>
      <t xml:space="preserve">RAPESEED MEALS </t>
    </r>
    <r>
      <rPr>
        <i/>
        <sz val="12"/>
        <rFont val="Arial"/>
        <family val="2"/>
      </rPr>
      <t>(of which)</t>
    </r>
  </si>
  <si>
    <r>
      <t xml:space="preserve">SUNFLOWER MEALS </t>
    </r>
    <r>
      <rPr>
        <i/>
        <sz val="12"/>
        <rFont val="Arial"/>
        <family val="2"/>
      </rPr>
      <t>(of which)</t>
    </r>
  </si>
  <si>
    <r>
      <t xml:space="preserve">OTHER OILSEED MEALS </t>
    </r>
    <r>
      <rPr>
        <i/>
        <sz val="12"/>
        <rFont val="Arial"/>
        <family val="2"/>
      </rPr>
      <t>(of which)</t>
    </r>
  </si>
  <si>
    <t>Distillers' Dried Grains with Solubles</t>
  </si>
  <si>
    <t>Wet Distillers' Grain</t>
  </si>
  <si>
    <t>10,7% beet
4,2%  cane</t>
  </si>
  <si>
    <t>Fish Meal</t>
  </si>
  <si>
    <t xml:space="preserve">Whey Powder </t>
  </si>
  <si>
    <t xml:space="preserve">Skimmed Milk Powder </t>
  </si>
  <si>
    <t>Processed Animal Proteins</t>
  </si>
  <si>
    <t>Former Foodstuff</t>
  </si>
  <si>
    <t>Dried Fodder</t>
  </si>
  <si>
    <t>2017/18</t>
  </si>
  <si>
    <t>2016/17</t>
  </si>
  <si>
    <t>2015/16</t>
  </si>
  <si>
    <t>2014/15</t>
  </si>
  <si>
    <t>2013/14</t>
  </si>
  <si>
    <t>2012/13</t>
  </si>
  <si>
    <t>2011/12</t>
  </si>
  <si>
    <t>Methodology</t>
  </si>
  <si>
    <t>Protein Source</t>
  </si>
  <si>
    <t>Total Production</t>
  </si>
  <si>
    <t>Import / Export</t>
  </si>
  <si>
    <t>EU Total Domestic Use</t>
  </si>
  <si>
    <t>EU Feed Use</t>
  </si>
  <si>
    <t>EU Feed Use
of EU Origin</t>
  </si>
  <si>
    <t>Cereals</t>
  </si>
  <si>
    <t>of which</t>
  </si>
  <si>
    <t>Common Wheat</t>
  </si>
  <si>
    <t>EU cereals balance sheet heading : Usable production</t>
  </si>
  <si>
    <t>EU cereals balance sheet heading :  Import / Export</t>
  </si>
  <si>
    <t>EU cereals balance sheet heading :  Total Use</t>
  </si>
  <si>
    <t xml:space="preserve">EU cereals balance sheet heading :  Animal Feed
</t>
  </si>
  <si>
    <t>= EU feed use IF (Total Production &gt; Total Domestic use);
Otherwise : ( EU Feed Use * Total Production ) / Total Domestic use
Common wheat : reduction with imports
Mais : EU Feed use - 90% of EU imports</t>
  </si>
  <si>
    <t>Durum Wheat</t>
  </si>
  <si>
    <t>Barley</t>
  </si>
  <si>
    <t>Grain Maize</t>
  </si>
  <si>
    <t>Rye</t>
  </si>
  <si>
    <t>Sorghum</t>
  </si>
  <si>
    <t>Oats</t>
  </si>
  <si>
    <t>Triticale</t>
  </si>
  <si>
    <t>Other cereals</t>
  </si>
  <si>
    <t>Oilseeds</t>
  </si>
  <si>
    <t>Feed use without crushing</t>
  </si>
  <si>
    <t>EU oilseeds balance sheet 
Heading  Production</t>
  </si>
  <si>
    <t>EU oilseeds balance sheet  
Heading Import / Export</t>
  </si>
  <si>
    <t xml:space="preserve"> EU oilseeds balance sheet  
Heading Total Domestic Use</t>
  </si>
  <si>
    <t>FEFAC communication : 0,8% of total compound feed production (150 Million tonnes)</t>
  </si>
  <si>
    <t>FEFAC communication : 0,1% of total compound feed production (150 Million tonnes)</t>
  </si>
  <si>
    <t>Pulses (Peas, Beans, Lupins)</t>
  </si>
  <si>
    <t>Beans</t>
  </si>
  <si>
    <t>EU protein crops balance sheet Heading  : Production</t>
  </si>
  <si>
    <t>EU protein crops balance sheet  
Heading Import / Export</t>
  </si>
  <si>
    <t>= Total production + imports - exports</t>
  </si>
  <si>
    <t>EU protein crops balance sheet heading: Feed</t>
  </si>
  <si>
    <t>Peas</t>
  </si>
  <si>
    <t>Co-products</t>
  </si>
  <si>
    <t>Soya bean meal (EU Soya beans crushing)</t>
  </si>
  <si>
    <t>EU oilseeds balance sheet : Heading  : (soya bean Production - soya bean exports - domestic use)* crushing ratio (annual - around 0,9) * meal (0,79)</t>
  </si>
  <si>
    <t>EU oilseeds balance sheet : Heading  : soya beanmeal exports</t>
  </si>
  <si>
    <t>=(Total Production - Export )* 98 %  (2% non-feed use)</t>
  </si>
  <si>
    <t>= EU Feed Use</t>
  </si>
  <si>
    <t>Soya bean meal (imported Soya beans crushing)</t>
  </si>
  <si>
    <t>EU oilseeds balance sheet : Heading  : soya bean imports * crushing ratio (annual - around 0,9) * meal (0,79)  -  ( soya bean Protein Concentrate production)</t>
  </si>
  <si>
    <t>=(Total Production - exports ) * 98 %  (2% non-feed use)</t>
  </si>
  <si>
    <t>Soya bean meal (trade)</t>
  </si>
  <si>
    <t>EU oilseeds balance sheet : Heading  : soya beanmeal imports</t>
  </si>
  <si>
    <t xml:space="preserve">=  Imports </t>
  </si>
  <si>
    <t xml:space="preserve">FEFAC Communication </t>
  </si>
  <si>
    <t>Rapeseed meal (EU rapeseed crushing)</t>
  </si>
  <si>
    <t>EU oilseeds balance sheet : Heading  : (Rapeseed Production  - rapeseed export - domestic use)* crushing (0,9672) * meal (0,57)</t>
  </si>
  <si>
    <t>EU oilseeds balance sheet : Heading  : Rapeseedmeal exports</t>
  </si>
  <si>
    <t>=(Total Production - export)</t>
  </si>
  <si>
    <t>rapeseed meal (imported rapeseed crushing)</t>
  </si>
  <si>
    <t>EU oilseeds balance sheet : Heading  : Rapeseed imports * crushing (0,9672) * meal (0,57)</t>
  </si>
  <si>
    <t>rapeseed meal (trade)</t>
  </si>
  <si>
    <t>EU oilseeds balance sheet : Heading  : Rapeseedmeal imports</t>
  </si>
  <si>
    <t xml:space="preserve">= Imports </t>
  </si>
  <si>
    <t>Sunflowerseed meal (EU sunflowerseed crushing)</t>
  </si>
  <si>
    <t>EU oilseeds balance sheet : Heading  : (Sunflowerseed Production - sunflower seed export - domestic use)* crushing (0,8819) * meal (0,55)</t>
  </si>
  <si>
    <t>EU oilseeds balance sheet : Heading  : Sunflowerseedmeal exports</t>
  </si>
  <si>
    <t>Sunflowerseed meal (imported sunflowerseed crushing)</t>
  </si>
  <si>
    <t>EU oilseeds balance sheet : Heading  : Sunflowerseed imports * crushing (0,8819) * meal (0,55)</t>
  </si>
  <si>
    <t>Sunflowerseed meal (trade)</t>
  </si>
  <si>
    <t>EU balance sheet : Heading  : Sunflowerseedmeal imports</t>
  </si>
  <si>
    <t>Palmkern and linseed meal  </t>
  </si>
  <si>
    <t>Oil world CD -ROM
Table EU28 balances of oilmeals
(other = copra, cotton, groundnut, sesame)</t>
  </si>
  <si>
    <t>imports &amp; exports based on CN code  "2306 6000 and 2306 2000"</t>
  </si>
  <si>
    <t>= EU Total Domestic Use</t>
  </si>
  <si>
    <t>= EU Total Production</t>
  </si>
  <si>
    <t>imports &amp; exports based on CN code  "2305 5000, 2306 1000, 2306 5000, 2306 9090"</t>
  </si>
  <si>
    <t>Starch industry's medium protein products (15%-30%)</t>
  </si>
  <si>
    <t>Starch Europe</t>
  </si>
  <si>
    <t>imports &amp; exports based on CN code  "2303 3010, 2303 1019, 2306 7000"</t>
  </si>
  <si>
    <t>Starch industry's high protein products (60%-90%)</t>
  </si>
  <si>
    <t>imports &amp; exports based on CN code  "2309 9020"</t>
  </si>
  <si>
    <t>Distiller's Dried Grains with Solubles</t>
  </si>
  <si>
    <t xml:space="preserve">31 % of the EU cereals balance sheet heading "bio ethanol production" </t>
  </si>
  <si>
    <t>imports &amp; exports based on CN code  "2303 3000"</t>
  </si>
  <si>
    <t>Wet Distiller's Grains</t>
  </si>
  <si>
    <t>no data available</t>
  </si>
  <si>
    <t>=Total Production</t>
  </si>
  <si>
    <t>15% of EU cereals balance sheet heading "human consumption" (feedipedia)</t>
  </si>
  <si>
    <t>imports &amp; exports based on CN code  "2302 3090"</t>
  </si>
  <si>
    <t>citrus pulp imports based on FEFAC data (yearbook)</t>
  </si>
  <si>
    <t>= imports</t>
  </si>
  <si>
    <t>beet pellets domestic production
(= 38,4% of sugar production)</t>
  </si>
  <si>
    <t>imports &amp; exports based on CN code  "2303 20 &amp; 2303 9091"</t>
  </si>
  <si>
    <t>prorata production consumption</t>
  </si>
  <si>
    <t>imports &amp; exports based on CN code  "1703 1000 &amp; 1703 9000"</t>
  </si>
  <si>
    <t>= 32% of  EU Total Domestic Use</t>
  </si>
  <si>
    <t>Non-plant sources</t>
  </si>
  <si>
    <t>Oil world CD -ROM
Table EU28 balances of oilmeals</t>
  </si>
  <si>
    <t>imports &amp; exports based on CN code  "2301 2000"</t>
  </si>
  <si>
    <t>Whey Powder</t>
  </si>
  <si>
    <t>Short term outlook, whey powder</t>
  </si>
  <si>
    <t>imports &amp; exports based on CN code  "0404"</t>
  </si>
  <si>
    <t xml:space="preserve">EUCOLAIT Communication </t>
  </si>
  <si>
    <t>Skimmed Milk Powder</t>
  </si>
  <si>
    <t>Short term outlook, skimmed milk powder</t>
  </si>
  <si>
    <t>imports &amp; exports based on CN code  "0402 10"</t>
  </si>
  <si>
    <t>EFPRA communication</t>
  </si>
  <si>
    <t>EFPRA communication, including petfood</t>
  </si>
  <si>
    <t>5 million tonnes 
(based on website EFFPA.EU)</t>
  </si>
  <si>
    <t>Roughage</t>
  </si>
  <si>
    <t>Eurostat Fodder biomass production - (Silage Maize +Fodder Legumes)</t>
  </si>
  <si>
    <t>Silage Maize</t>
  </si>
  <si>
    <t>Eurostat crop production</t>
  </si>
  <si>
    <t>Fodder Legumes</t>
  </si>
  <si>
    <t>= domestic production dried fodder :
(CIDE communication)</t>
  </si>
  <si>
    <t>imports &amp; exports based on CN codes "ex 1214 1000" and "ex 1214 9090"</t>
  </si>
  <si>
    <t>Oilseeds (mio. t)</t>
  </si>
  <si>
    <t>Production</t>
  </si>
  <si>
    <t xml:space="preserve">  Rape</t>
  </si>
  <si>
    <t xml:space="preserve">  Soybean</t>
  </si>
  <si>
    <t xml:space="preserve">  Sunflower</t>
  </si>
  <si>
    <t>Total domestic use</t>
  </si>
  <si>
    <t xml:space="preserve"> of which crushing</t>
  </si>
  <si>
    <t xml:space="preserve">  Soybean </t>
  </si>
  <si>
    <t>Imports</t>
  </si>
  <si>
    <t xml:space="preserve">  Sunflower </t>
  </si>
  <si>
    <t>Exports</t>
  </si>
  <si>
    <t>Meals (mio. t)</t>
  </si>
  <si>
    <t>crushing ratios</t>
  </si>
  <si>
    <t>production</t>
  </si>
  <si>
    <t>2011/2012</t>
  </si>
  <si>
    <t>2012/2013</t>
  </si>
  <si>
    <t>2013/2014</t>
  </si>
  <si>
    <t>2014/2015</t>
  </si>
  <si>
    <t>2015/2016</t>
  </si>
  <si>
    <t>2018/2019</t>
  </si>
  <si>
    <t>2019/2020</t>
  </si>
  <si>
    <t>2020/2021</t>
  </si>
  <si>
    <t>2021/2022</t>
  </si>
  <si>
    <t>Common  wheat</t>
  </si>
  <si>
    <t>Durum</t>
  </si>
  <si>
    <t>Maize</t>
  </si>
  <si>
    <t>Others</t>
  </si>
  <si>
    <t>EUR 27</t>
  </si>
  <si>
    <t>Import</t>
  </si>
  <si>
    <t xml:space="preserve"> wheat</t>
  </si>
  <si>
    <t>Export</t>
  </si>
  <si>
    <t>Biofuel</t>
  </si>
  <si>
    <t>Human Consumption</t>
  </si>
  <si>
    <t>imports</t>
  </si>
  <si>
    <t>exports</t>
  </si>
  <si>
    <t>feeduse</t>
  </si>
  <si>
    <t xml:space="preserve">Other pulses </t>
  </si>
  <si>
    <t>feedratio</t>
  </si>
  <si>
    <t>CEREALS (of which)</t>
  </si>
  <si>
    <t>OILSEEDS  (feed use without crushing)</t>
  </si>
  <si>
    <t>PULSES  (of which)</t>
  </si>
  <si>
    <t>SOYA BEAN MEALS (of which)</t>
  </si>
  <si>
    <t>RAPESEED MEALS (of which)</t>
  </si>
  <si>
    <t>SUNFLOWER MEALS (of which)</t>
  </si>
  <si>
    <t>OTHER OILSEED MEALS (of which)</t>
  </si>
  <si>
    <t>Update on</t>
  </si>
  <si>
    <t>Yes</t>
  </si>
  <si>
    <t>Molasses domestic production 
(= 19% of sugar production (before 2017-18:19,7%)</t>
  </si>
  <si>
    <t>2022/2023</t>
  </si>
  <si>
    <t>2022/23</t>
  </si>
  <si>
    <t>This figure has never change. Last feedack from stakeholders: 25/11/2021</t>
  </si>
  <si>
    <t>Eurostat production data for codes "11051000" and "11051010" * 17,5kg/hl (with check using annual beer production from 'Brewers of Europe')</t>
  </si>
  <si>
    <t>Yes for production figures BUT figures of EU total feed use to be confirmed by stakeholders</t>
  </si>
  <si>
    <t>Last update by stakeholders in November 2021</t>
  </si>
  <si>
    <t>Old figures</t>
  </si>
  <si>
    <t>SCOPE</t>
  </si>
  <si>
    <t>The ‘EU Feed Protein Balance Sheet’ covers a broad range of feed protein sources, including protein-rich materials as well as other sources with a lower protein content. The sheet also covers non-plant-based protein materials, such as fishmeal, processed animal proteins, whey, skimmed milk powder, and former foodstuff.</t>
  </si>
  <si>
    <t>PROTEIN SOURCES</t>
  </si>
  <si>
    <t>The protein sources are classified into four main categories:</t>
  </si>
  <si>
    <t>Crops:</t>
  </si>
  <si>
    <t>Cereals, oilseeds and pulses. This category refers to whole grains and seeds that are directly fed to animals. Minimal processing, like toasting, is possible in this category. While it is quite common to use "un-processed" cereals and pulses, the direct feed use of oilseeds is limited. Oilseeds are normally crushed to produce vegetable oil and proteinrich meals used in compound feed.</t>
  </si>
  <si>
    <t>Co-products:</t>
  </si>
  <si>
    <t>Meals from crushing of soya, rapeseed and sunflower, and other proteinrich materials, by-products resulting from processing of arable crops:</t>
  </si>
  <si>
    <t>Non-plant based sources:</t>
  </si>
  <si>
    <t xml:space="preserve">Fishmeal, whey powder, skimmed milk powder, processed animal proteins, and former foodstuffs. For processed animal proteins and former foodstuff, only figures on supply and feed use are available, there is no data on trade. </t>
  </si>
  <si>
    <t>Roughage:</t>
  </si>
  <si>
    <t>Grass, silage maize, and fodder leguminous. Roughage is the most important source of protein, predominantly for ruminants. Roughage is mainly produced and directly used on farm; production figures are calculated on area and yields. Therefore, the figures displayed in the balance sheet are based on yield estimates and not on actual production figures.</t>
  </si>
  <si>
    <t>DATA ELEMENTS AND SOURCES</t>
  </si>
  <si>
    <t>The ‘EU Feed Protein Balance Sheet’ provides for each protein source data on the following elements:</t>
  </si>
  <si>
    <t>EU production:</t>
  </si>
  <si>
    <t>o Data from EU balance sheets for cereals, oilseeds, protein crops and sugar (produced by DG AGRI) are used for production figures of crops, oilseed meals (soya beans, rapeseed and sunflower), DDGs, wheat bran, beet pulp and molasses;
o For other oilseed meals (palm kern meal, linseed and other oilseeds) data is used from an external source (Oilworld);
o EUROSTAT database for whey powder and skimmed milk powder;
o EUROSTAT database for roughage production (data on ‘temporary grassland’, ‘silage maize’, ‘legumes harvested green’ and ‘permanent grassland’);
o Industry data on production of protein from the starch industry, brewing industry and fishmeal.</t>
  </si>
  <si>
    <t>EU trade:</t>
  </si>
  <si>
    <t>EU trade on imports and exports is extracted from the EUROSTAT – COMEXT database for trade data.</t>
  </si>
  <si>
    <t>Total EU domestic use:</t>
  </si>
  <si>
    <t>Total EU domestic use for feed, food and industrial purposes equals EU production of the protein source plus its imports minus its exports.</t>
  </si>
  <si>
    <t>EU feed use:</t>
  </si>
  <si>
    <t>EU feed use (including the quantity of EU origin) is based on coefficients from literature and stakeholders’ expertise.</t>
  </si>
  <si>
    <t>Protein content:</t>
  </si>
  <si>
    <t>Protein content is based on coefficients from literature and stakeholders’ expertise. This data is an average value since protein content is subject to annual and regional variations.</t>
  </si>
  <si>
    <t>EU feed use in crude proteins is a result of multiplying feed use by protein content. This facilitates the analysis and permits comparisons. It also defines the importance of a particular source in the overall protein feed supply.</t>
  </si>
  <si>
    <t>Percentage (%) of feed use of EU origin illustrates the self-sufficiency of each source and for the total feed use in the EU.</t>
  </si>
  <si>
    <t>Percentage (%) of feed use of EU origin:</t>
  </si>
  <si>
    <t>Percentage (%) of total feed:</t>
  </si>
  <si>
    <t>Percentage (%) of total feed use illustrates the importance of a particular source in the overall protein feed supply.</t>
  </si>
  <si>
    <t>PROTEIN CONTENT CLASSIFICATION</t>
  </si>
  <si>
    <t>In the feed sector, it is common to differentiate between protein levels. In cooperation with stakeholders, the following classification has been included in the balance sheet:</t>
  </si>
  <si>
    <t>o Low-pro: less than 15% protein content;
o Medium-pro: 15-30% protein content;
o High-pro: 30-50% protein content;
o Super-pro: over 50% protein content.</t>
  </si>
  <si>
    <t>LIMITATIONS</t>
  </si>
  <si>
    <t>There is only limited inter-changeability between proteins from different categories, for instance between proteins from cereals and roughage and proteins from soya meal. Due to its amino acid characteristics, soya protein is used more efficiently than other plant proteins in animal nutrition. Moreover, roughage is mainly suitable as feed for ruminants and not for pigs and poultry.</t>
  </si>
  <si>
    <r>
      <rPr>
        <b/>
        <u/>
        <sz val="12"/>
        <color theme="1"/>
        <rFont val="Calibri"/>
        <family val="2"/>
        <scheme val="minor"/>
      </rPr>
      <t>Oilseed meals</t>
    </r>
    <r>
      <rPr>
        <sz val="12"/>
        <color theme="1"/>
        <rFont val="Calibri"/>
        <family val="2"/>
        <scheme val="minor"/>
      </rPr>
      <t>: Within the category of oilseed meals, a distinction is made between soya bean, rapeseed, sunflower and other oilseed meals such as palm kern or linseed. For soya bean, rapeseed and sunflower, the sheet differentiates between meals from European sourced beans and seeds, meals from imported beans and seeds crushed in the EU, and meals  imported to provide additional market insight.</t>
    </r>
  </si>
  <si>
    <r>
      <rPr>
        <b/>
        <u/>
        <sz val="12"/>
        <color theme="1"/>
        <rFont val="Calibri"/>
        <family val="2"/>
        <scheme val="minor"/>
      </rPr>
      <t>Other co-products:</t>
    </r>
    <r>
      <rPr>
        <sz val="12"/>
        <color theme="1"/>
        <rFont val="Calibri"/>
        <family val="2"/>
        <scheme val="minor"/>
      </rPr>
      <t xml:space="preserve"> This category includes a broad variety of protein products (e.g. corn gluten meal, corn gluten feed, wheat gluten, wheat feed and potato and pea protein). In addition, Distillers’ Dried Grains with Solubles (DDG) is mainly a coproduct from ethanol production, while wet distillers’ grain is a co-product from beer brewing. Wheat bran is a co-product from the milling industry and beet pulp and molasses are co-products from the sugar sector.</t>
    </r>
  </si>
  <si>
    <t>Last update with data sent in November 2021</t>
  </si>
  <si>
    <t>Last update sent by stakeholder in September 2022: 2021 data</t>
  </si>
  <si>
    <t>Domestic Use</t>
  </si>
  <si>
    <t>1 Field peas</t>
  </si>
  <si>
    <t>2 Broad and field beans</t>
  </si>
  <si>
    <t>3 Sweet lupins</t>
  </si>
  <si>
    <t>other pulses FBS</t>
  </si>
  <si>
    <t>Table  EU-27 protein crops balance sheets (thousands t)</t>
  </si>
  <si>
    <t>Lentils</t>
  </si>
  <si>
    <t>Chickpeas</t>
  </si>
  <si>
    <t>Other dry pulses</t>
  </si>
  <si>
    <t>Yes (based on 2020 biomass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</si>
</sst>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0"/>
    <numFmt numFmtId="165" formatCode="0.0%"/>
    <numFmt numFmtId="166" formatCode="0.0"/>
    <numFmt numFmtId="167" formatCode="_-* #,##0.0_-;\-* #,##0.0_-;_-* &quot;-&quot;??_-;_-@_-"/>
    <numFmt numFmtId="168" formatCode="_-* #,##0.0\ _€_-;\-* #,##0.0\ _€_-;_-* &quot;-&quot;?\ _€_-;_-@_-"/>
    <numFmt numFmtId="169" formatCode="_-* #,##0.00\ _€_-;\-* #,##0.00\ _€_-;_-* &quot;-&quot;?\ _€_-;_-@_-"/>
    <numFmt numFmtId="170" formatCode="_-* #,##0_-;\-* #,##0_-;_-* &quot;-&quot;??_-;_-@_-"/>
    <numFmt numFmtId="171" formatCode="_-* #,##0.00\ _€_-;\-* #,##0.00\ _€_-;_-* &quot;-&quot;??\ _€_-;_-@_-"/>
  </numFmts>
  <fonts count="42" x14ac:knownFonts="1">
    <font>
      <sz val="11"/>
      <color theme="1"/>
      <name val="Calibri"/>
      <family val="2"/>
      <scheme val="minor"/>
    </font>
    <font>
      <sz val="11"/>
      <color theme="1"/>
      <name val="Calibri"/>
      <family val="2"/>
      <scheme val="minor"/>
    </font>
    <font>
      <sz val="11"/>
      <name val="Arial"/>
      <family val="2"/>
    </font>
    <font>
      <sz val="12"/>
      <name val="Arial"/>
      <family val="2"/>
    </font>
    <font>
      <b/>
      <sz val="10"/>
      <color rgb="FFFF0000"/>
      <name val="Arial"/>
      <family val="2"/>
    </font>
    <font>
      <sz val="10"/>
      <color theme="0"/>
      <name val="Arial"/>
      <family val="2"/>
    </font>
    <font>
      <sz val="10"/>
      <name val="Arial"/>
      <family val="2"/>
    </font>
    <font>
      <b/>
      <sz val="36"/>
      <color rgb="FF1E858B"/>
      <name val="Arial"/>
      <family val="2"/>
    </font>
    <font>
      <b/>
      <sz val="12"/>
      <color rgb="FF034EA2"/>
      <name val="Arial"/>
      <family val="2"/>
    </font>
    <font>
      <b/>
      <sz val="18"/>
      <color theme="0"/>
      <name val="Arial"/>
      <family val="2"/>
    </font>
    <font>
      <b/>
      <sz val="14"/>
      <color theme="0"/>
      <name val="Arial"/>
      <family val="2"/>
    </font>
    <font>
      <b/>
      <sz val="11"/>
      <color theme="0"/>
      <name val="Arial"/>
      <family val="2"/>
    </font>
    <font>
      <b/>
      <sz val="10"/>
      <color theme="0"/>
      <name val="Arial"/>
      <family val="2"/>
    </font>
    <font>
      <b/>
      <sz val="12"/>
      <name val="Arial"/>
      <family val="2"/>
    </font>
    <font>
      <i/>
      <sz val="12"/>
      <color theme="0"/>
      <name val="Arial"/>
      <family val="2"/>
    </font>
    <font>
      <sz val="10"/>
      <color theme="1"/>
      <name val="Arial"/>
      <family val="2"/>
    </font>
    <font>
      <sz val="11"/>
      <color theme="1"/>
      <name val="Arial"/>
      <family val="2"/>
    </font>
    <font>
      <b/>
      <sz val="10"/>
      <name val="Arial"/>
      <family val="2"/>
    </font>
    <font>
      <i/>
      <sz val="12"/>
      <name val="Arial"/>
      <family val="2"/>
    </font>
    <font>
      <i/>
      <sz val="10"/>
      <name val="Arial"/>
      <family val="2"/>
    </font>
    <font>
      <u/>
      <sz val="11"/>
      <name val="Arial"/>
      <family val="2"/>
    </font>
    <font>
      <b/>
      <sz val="9"/>
      <color indexed="81"/>
      <name val="Tahoma"/>
      <family val="2"/>
    </font>
    <font>
      <sz val="9"/>
      <color indexed="81"/>
      <name val="Tahoma"/>
      <family val="2"/>
    </font>
    <font>
      <i/>
      <sz val="11"/>
      <name val="Arial"/>
      <family val="2"/>
    </font>
    <font>
      <b/>
      <sz val="11"/>
      <color rgb="FFFF0000"/>
      <name val="Arial"/>
      <family val="2"/>
    </font>
    <font>
      <sz val="11"/>
      <color theme="0"/>
      <name val="Arial"/>
      <family val="2"/>
    </font>
    <font>
      <sz val="28"/>
      <name val="Arial"/>
      <family val="2"/>
    </font>
    <font>
      <sz val="20"/>
      <name val="Arial"/>
      <family val="2"/>
    </font>
    <font>
      <b/>
      <sz val="14"/>
      <name val="Arial"/>
      <family val="2"/>
    </font>
    <font>
      <b/>
      <sz val="7"/>
      <color theme="0" tint="-4.9989318521683403E-2"/>
      <name val="Verdana"/>
      <family val="2"/>
    </font>
    <font>
      <sz val="7"/>
      <name val="Verdana"/>
      <family val="2"/>
    </font>
    <font>
      <sz val="12"/>
      <color theme="1"/>
      <name val="Calibri"/>
      <family val="2"/>
      <scheme val="minor"/>
    </font>
    <font>
      <b/>
      <sz val="16"/>
      <color rgb="FF0070C0"/>
      <name val="Calibri"/>
      <family val="2"/>
      <scheme val="minor"/>
    </font>
    <font>
      <b/>
      <sz val="14"/>
      <color theme="1"/>
      <name val="Calibri"/>
      <family val="2"/>
      <scheme val="minor"/>
    </font>
    <font>
      <b/>
      <u/>
      <sz val="12"/>
      <color theme="1"/>
      <name val="Calibri"/>
      <family val="2"/>
      <scheme val="minor"/>
    </font>
    <font>
      <b/>
      <sz val="11"/>
      <color theme="1"/>
      <name val="Calibri"/>
      <family val="2"/>
      <scheme val="minor"/>
    </font>
    <font>
      <b/>
      <i/>
      <sz val="11"/>
      <color theme="1"/>
      <name val="Calibri"/>
      <family val="2"/>
      <scheme val="minor"/>
    </font>
    <font>
      <b/>
      <sz val="11"/>
      <color theme="0" tint="-4.9989318521683403E-2"/>
      <name val="Calibri"/>
      <family val="2"/>
      <scheme val="minor"/>
    </font>
    <font>
      <b/>
      <i/>
      <sz val="11"/>
      <name val="Calibri"/>
      <family val="2"/>
      <scheme val="minor"/>
    </font>
    <font>
      <b/>
      <sz val="11"/>
      <name val="Calibri"/>
      <family val="2"/>
      <scheme val="minor"/>
    </font>
    <font>
      <sz val="11"/>
      <name val="Calibri"/>
      <family val="2"/>
      <scheme val="minor"/>
    </font>
    <font>
      <b/>
      <sz val="8"/>
      <color theme="0" tint="-4.9989318521683403E-2"/>
      <name val="Verdana"/>
      <family val="2"/>
    </font>
  </fonts>
  <fills count="16">
    <fill>
      <patternFill patternType="none"/>
    </fill>
    <fill>
      <patternFill patternType="gray125"/>
    </fill>
    <fill>
      <patternFill patternType="solid">
        <fgColor theme="6" tint="0.79998168889431442"/>
        <bgColor indexed="65"/>
      </patternFill>
    </fill>
    <fill>
      <patternFill patternType="solid">
        <fgColor theme="0"/>
        <bgColor indexed="64"/>
      </patternFill>
    </fill>
    <fill>
      <patternFill patternType="solid">
        <fgColor rgb="FF1E858B"/>
        <bgColor indexed="64"/>
      </patternFill>
    </fill>
    <fill>
      <patternFill patternType="solid">
        <fgColor rgb="FF169068"/>
        <bgColor indexed="64"/>
      </patternFill>
    </fill>
    <fill>
      <patternFill patternType="solid">
        <fgColor rgb="FF1EC08A"/>
        <bgColor indexed="64"/>
      </patternFill>
    </fill>
    <fill>
      <patternFill patternType="solid">
        <fgColor rgb="FFCDF7E9"/>
        <bgColor indexed="64"/>
      </patternFill>
    </fill>
    <fill>
      <patternFill patternType="solid">
        <fgColor rgb="FF9BEFD3"/>
        <bgColor indexed="64"/>
      </patternFill>
    </fill>
    <fill>
      <patternFill patternType="solid">
        <fgColor rgb="FF6AE8BE"/>
        <bgColor indexed="64"/>
      </patternFill>
    </fill>
    <fill>
      <patternFill patternType="solid">
        <fgColor theme="0" tint="-0.14999847407452621"/>
        <bgColor indexed="64"/>
      </patternFill>
    </fill>
    <fill>
      <patternFill patternType="solid">
        <fgColor rgb="FF42A62A"/>
        <bgColor indexed="64"/>
      </patternFill>
    </fill>
    <fill>
      <patternFill patternType="solid">
        <fgColor rgb="FFD9D9D9"/>
        <bgColor indexed="64"/>
      </patternFill>
    </fill>
    <fill>
      <patternFill patternType="solid">
        <fgColor theme="0" tint="-0.14996795556505021"/>
        <bgColor indexed="64"/>
      </patternFill>
    </fill>
    <fill>
      <patternFill patternType="solid">
        <fgColor rgb="FFEEECE1"/>
        <bgColor indexed="64"/>
      </patternFill>
    </fill>
    <fill>
      <patternFill patternType="solid">
        <fgColor theme="9" tint="0.59999389629810485"/>
        <bgColor indexed="64"/>
      </patternFill>
    </fill>
  </fills>
  <borders count="64">
    <border>
      <left/>
      <right/>
      <top/>
      <bottom/>
      <diagonal/>
    </border>
    <border>
      <left style="thick">
        <color theme="0"/>
      </left>
      <right/>
      <top/>
      <bottom/>
      <diagonal/>
    </border>
    <border>
      <left style="thin">
        <color theme="0"/>
      </left>
      <right style="thin">
        <color indexed="64"/>
      </right>
      <top/>
      <bottom style="thin">
        <color theme="0"/>
      </bottom>
      <diagonal/>
    </border>
    <border>
      <left style="thin">
        <color indexed="64"/>
      </left>
      <right style="thin">
        <color indexed="64"/>
      </right>
      <top/>
      <bottom style="thin">
        <color theme="0"/>
      </bottom>
      <diagonal/>
    </border>
    <border>
      <left style="thin">
        <color indexed="64"/>
      </left>
      <right/>
      <top/>
      <bottom style="thin">
        <color theme="0"/>
      </bottom>
      <diagonal/>
    </border>
    <border>
      <left style="thin">
        <color theme="0"/>
      </left>
      <right/>
      <top/>
      <bottom style="thin">
        <color indexed="64"/>
      </bottom>
      <diagonal/>
    </border>
    <border>
      <left style="thin">
        <color theme="0"/>
      </left>
      <right style="thin">
        <color indexed="64"/>
      </right>
      <top/>
      <bottom/>
      <diagonal/>
    </border>
    <border>
      <left style="thin">
        <color indexed="64"/>
      </left>
      <right/>
      <top/>
      <bottom/>
      <diagonal/>
    </border>
    <border>
      <left style="thin">
        <color theme="0"/>
      </left>
      <right/>
      <top/>
      <bottom style="thin">
        <color theme="0"/>
      </bottom>
      <diagonal/>
    </border>
    <border>
      <left/>
      <right/>
      <top/>
      <bottom style="thin">
        <color theme="0"/>
      </bottom>
      <diagonal/>
    </border>
    <border>
      <left/>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theme="8"/>
      </bottom>
      <diagonal/>
    </border>
    <border>
      <left/>
      <right/>
      <top style="thin">
        <color theme="8"/>
      </top>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0" tint="-4.9989318521683403E-2"/>
      </left>
      <right style="medium">
        <color theme="0" tint="-4.9989318521683403E-2"/>
      </right>
      <top/>
      <bottom/>
      <diagonal/>
    </border>
    <border>
      <left/>
      <right style="medium">
        <color theme="0" tint="-4.9989318521683403E-2"/>
      </right>
      <top/>
      <bottom/>
      <diagonal/>
    </border>
    <border>
      <left style="thin">
        <color theme="0"/>
      </left>
      <right style="thin">
        <color theme="0"/>
      </right>
      <top style="thin">
        <color theme="0"/>
      </top>
      <bottom style="thin">
        <color theme="0"/>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1" fillId="0" borderId="0"/>
    <xf numFmtId="0" fontId="6" fillId="0" borderId="0"/>
    <xf numFmtId="43" fontId="6" fillId="0" borderId="0" applyFont="0" applyFill="0" applyBorder="0" applyAlignment="0" applyProtection="0"/>
  </cellStyleXfs>
  <cellXfs count="322">
    <xf numFmtId="0" fontId="0" fillId="0" borderId="0" xfId="0"/>
    <xf numFmtId="0" fontId="2" fillId="3" borderId="0" xfId="0" quotePrefix="1" applyFont="1" applyFill="1"/>
    <xf numFmtId="0" fontId="3" fillId="3" borderId="0" xfId="0" applyFont="1" applyFill="1" applyAlignment="1">
      <alignment horizontal="center"/>
    </xf>
    <xf numFmtId="0" fontId="4" fillId="3" borderId="0" xfId="0" applyFont="1" applyFill="1" applyBorder="1" applyAlignment="1">
      <alignment horizontal="center"/>
    </xf>
    <xf numFmtId="0" fontId="3" fillId="3" borderId="0" xfId="0" applyFont="1" applyFill="1" applyAlignment="1"/>
    <xf numFmtId="0" fontId="0" fillId="3" borderId="0" xfId="0" applyFill="1"/>
    <xf numFmtId="0" fontId="5" fillId="3" borderId="0" xfId="0" applyFont="1" applyFill="1"/>
    <xf numFmtId="43" fontId="0" fillId="0" borderId="0" xfId="1" applyFont="1"/>
    <xf numFmtId="0" fontId="7" fillId="3" borderId="1" xfId="0" applyFont="1" applyFill="1" applyBorder="1" applyAlignment="1">
      <alignment vertical="center"/>
    </xf>
    <xf numFmtId="0" fontId="8" fillId="3" borderId="1" xfId="0" applyFont="1" applyFill="1" applyBorder="1" applyAlignment="1">
      <alignment vertical="center"/>
    </xf>
    <xf numFmtId="16" fontId="9" fillId="4" borderId="0" xfId="0" applyNumberFormat="1" applyFont="1" applyFill="1" applyBorder="1" applyAlignment="1">
      <alignment horizontal="center" vertical="center"/>
    </xf>
    <xf numFmtId="16" fontId="11" fillId="4" borderId="8" xfId="0" applyNumberFormat="1" applyFont="1" applyFill="1" applyBorder="1" applyAlignment="1">
      <alignment horizontal="center" vertical="center"/>
    </xf>
    <xf numFmtId="16" fontId="11" fillId="4" borderId="9" xfId="0" applyNumberFormat="1" applyFont="1" applyFill="1" applyBorder="1" applyAlignment="1">
      <alignment horizontal="center" vertical="center"/>
    </xf>
    <xf numFmtId="0" fontId="5" fillId="3" borderId="0" xfId="0" applyFont="1" applyFill="1" applyBorder="1"/>
    <xf numFmtId="16" fontId="10" fillId="4" borderId="10" xfId="0" applyNumberFormat="1" applyFont="1" applyFill="1" applyBorder="1" applyAlignment="1">
      <alignment horizontal="center" vertical="center"/>
    </xf>
    <xf numFmtId="16" fontId="12" fillId="4" borderId="5" xfId="0" applyNumberFormat="1" applyFont="1" applyFill="1" applyBorder="1" applyAlignment="1">
      <alignment horizontal="center" vertical="center" wrapText="1"/>
    </xf>
    <xf numFmtId="16" fontId="12" fillId="4" borderId="11" xfId="0" applyNumberFormat="1" applyFont="1" applyFill="1" applyBorder="1" applyAlignment="1">
      <alignment horizontal="center" vertical="center" wrapText="1"/>
    </xf>
    <xf numFmtId="16" fontId="12" fillId="4" borderId="13" xfId="0" applyNumberFormat="1" applyFont="1" applyFill="1" applyBorder="1" applyAlignment="1">
      <alignment horizontal="center" vertical="center" wrapText="1"/>
    </xf>
    <xf numFmtId="43" fontId="12" fillId="4" borderId="0" xfId="1" applyFont="1" applyFill="1" applyBorder="1" applyAlignment="1">
      <alignment horizontal="center" vertical="center" wrapText="1"/>
    </xf>
    <xf numFmtId="16" fontId="12" fillId="4" borderId="0" xfId="0" applyNumberFormat="1" applyFont="1" applyFill="1" applyBorder="1" applyAlignment="1">
      <alignment horizontal="center" vertical="center" wrapText="1"/>
    </xf>
    <xf numFmtId="0" fontId="3" fillId="3" borderId="0" xfId="0" applyFont="1" applyFill="1" applyBorder="1" applyAlignment="1">
      <alignment vertical="top" wrapText="1"/>
    </xf>
    <xf numFmtId="164" fontId="3" fillId="3" borderId="0" xfId="0" applyNumberFormat="1" applyFont="1" applyFill="1" applyBorder="1" applyAlignment="1">
      <alignment horizontal="right" indent="1"/>
    </xf>
    <xf numFmtId="164" fontId="3" fillId="3" borderId="0" xfId="0" applyNumberFormat="1" applyFont="1" applyFill="1" applyBorder="1" applyAlignment="1">
      <alignment horizontal="right" wrapText="1" indent="1"/>
    </xf>
    <xf numFmtId="165" fontId="6" fillId="3" borderId="0" xfId="0" applyNumberFormat="1" applyFont="1" applyFill="1" applyBorder="1" applyAlignment="1">
      <alignment horizontal="center" vertical="top" wrapText="1"/>
    </xf>
    <xf numFmtId="164" fontId="3" fillId="3" borderId="0" xfId="0" applyNumberFormat="1" applyFont="1" applyFill="1" applyBorder="1" applyAlignment="1">
      <alignment horizontal="center"/>
    </xf>
    <xf numFmtId="164" fontId="3" fillId="3" borderId="0" xfId="0" applyNumberFormat="1" applyFont="1" applyFill="1" applyBorder="1" applyAlignment="1">
      <alignment horizontal="center" wrapText="1"/>
    </xf>
    <xf numFmtId="9" fontId="3" fillId="3" borderId="0" xfId="0" applyNumberFormat="1" applyFont="1" applyFill="1" applyBorder="1" applyAlignment="1">
      <alignment horizontal="center"/>
    </xf>
    <xf numFmtId="0" fontId="9" fillId="5" borderId="0" xfId="0" applyFont="1" applyFill="1" applyBorder="1" applyAlignment="1">
      <alignment vertical="center"/>
    </xf>
    <xf numFmtId="2" fontId="9" fillId="5" borderId="0" xfId="0" applyNumberFormat="1" applyFont="1" applyFill="1" applyBorder="1" applyAlignment="1">
      <alignment vertical="center"/>
    </xf>
    <xf numFmtId="166" fontId="9" fillId="5" borderId="0" xfId="0" applyNumberFormat="1" applyFont="1" applyFill="1" applyBorder="1" applyAlignment="1">
      <alignment horizontal="center" vertical="center"/>
    </xf>
    <xf numFmtId="2" fontId="9" fillId="5" borderId="0" xfId="0" applyNumberFormat="1" applyFont="1" applyFill="1" applyBorder="1" applyAlignment="1">
      <alignment horizontal="center" vertical="center"/>
    </xf>
    <xf numFmtId="9" fontId="9" fillId="5" borderId="0" xfId="2" applyFont="1" applyFill="1" applyBorder="1" applyAlignment="1">
      <alignment horizontal="center" vertical="center"/>
    </xf>
    <xf numFmtId="43" fontId="9" fillId="5" borderId="0" xfId="1" applyFont="1" applyFill="1" applyBorder="1" applyAlignment="1">
      <alignment horizontal="center" vertical="center"/>
    </xf>
    <xf numFmtId="165" fontId="9" fillId="5" borderId="0" xfId="2" applyNumberFormat="1" applyFont="1" applyFill="1" applyBorder="1" applyAlignment="1">
      <alignment horizontal="center" vertical="center"/>
    </xf>
    <xf numFmtId="164" fontId="2" fillId="3" borderId="0" xfId="0" applyNumberFormat="1" applyFont="1" applyFill="1"/>
    <xf numFmtId="0" fontId="2" fillId="3" borderId="0" xfId="0" applyFont="1" applyFill="1"/>
    <xf numFmtId="43" fontId="3" fillId="3" borderId="0" xfId="1" applyFont="1" applyFill="1" applyBorder="1" applyAlignment="1">
      <alignment horizontal="center" wrapText="1"/>
    </xf>
    <xf numFmtId="165" fontId="3" fillId="3" borderId="0" xfId="2" applyNumberFormat="1" applyFont="1" applyFill="1" applyBorder="1" applyAlignment="1">
      <alignment horizontal="center" wrapText="1"/>
    </xf>
    <xf numFmtId="0" fontId="13" fillId="3" borderId="14" xfId="0" applyFont="1" applyFill="1" applyBorder="1" applyAlignment="1">
      <alignment vertical="top" wrapText="1"/>
    </xf>
    <xf numFmtId="164" fontId="13" fillId="3" borderId="15" xfId="0" applyNumberFormat="1" applyFont="1" applyFill="1" applyBorder="1" applyAlignment="1">
      <alignment horizontal="center"/>
    </xf>
    <xf numFmtId="164" fontId="13" fillId="3" borderId="15" xfId="0" applyNumberFormat="1" applyFont="1" applyFill="1" applyBorder="1" applyAlignment="1">
      <alignment horizontal="center" wrapText="1"/>
    </xf>
    <xf numFmtId="164" fontId="13" fillId="3" borderId="15" xfId="0" applyNumberFormat="1" applyFont="1" applyFill="1" applyBorder="1" applyAlignment="1">
      <alignment horizontal="center" vertical="top" wrapText="1"/>
    </xf>
    <xf numFmtId="4" fontId="13" fillId="3" borderId="15" xfId="0" applyNumberFormat="1" applyFont="1" applyFill="1" applyBorder="1" applyAlignment="1">
      <alignment horizontal="center"/>
    </xf>
    <xf numFmtId="4" fontId="13" fillId="3" borderId="14" xfId="0" applyNumberFormat="1" applyFont="1" applyFill="1" applyBorder="1" applyAlignment="1">
      <alignment horizontal="center" wrapText="1"/>
    </xf>
    <xf numFmtId="165" fontId="13" fillId="3" borderId="0" xfId="0" applyNumberFormat="1" applyFont="1" applyFill="1" applyBorder="1" applyAlignment="1">
      <alignment horizontal="center"/>
    </xf>
    <xf numFmtId="0" fontId="0" fillId="3" borderId="16" xfId="0" applyFill="1" applyBorder="1"/>
    <xf numFmtId="43" fontId="13" fillId="3" borderId="14" xfId="1" applyFont="1" applyFill="1" applyBorder="1" applyAlignment="1">
      <alignment horizontal="center" wrapText="1"/>
    </xf>
    <xf numFmtId="165" fontId="13" fillId="3" borderId="14" xfId="2" applyNumberFormat="1" applyFont="1" applyFill="1" applyBorder="1" applyAlignment="1">
      <alignment horizontal="center" wrapText="1"/>
    </xf>
    <xf numFmtId="0" fontId="10" fillId="6" borderId="0" xfId="0" applyFont="1" applyFill="1" applyBorder="1"/>
    <xf numFmtId="166" fontId="10" fillId="6" borderId="0" xfId="0" applyNumberFormat="1" applyFont="1" applyFill="1" applyBorder="1" applyAlignment="1">
      <alignment horizontal="center"/>
    </xf>
    <xf numFmtId="2" fontId="10" fillId="6" borderId="0" xfId="0" applyNumberFormat="1" applyFont="1" applyFill="1" applyBorder="1" applyAlignment="1">
      <alignment horizontal="center"/>
    </xf>
    <xf numFmtId="9" fontId="10" fillId="6" borderId="0" xfId="2" applyFont="1" applyFill="1" applyBorder="1" applyAlignment="1">
      <alignment horizontal="center"/>
    </xf>
    <xf numFmtId="0" fontId="0" fillId="0" borderId="0" xfId="0" applyFill="1"/>
    <xf numFmtId="43" fontId="10" fillId="6" borderId="0" xfId="1" applyFont="1" applyFill="1" applyBorder="1" applyAlignment="1">
      <alignment horizontal="center"/>
    </xf>
    <xf numFmtId="165" fontId="10" fillId="6" borderId="0" xfId="2" applyNumberFormat="1" applyFont="1" applyFill="1" applyBorder="1" applyAlignment="1">
      <alignment horizontal="center"/>
    </xf>
    <xf numFmtId="2" fontId="15" fillId="3" borderId="17" xfId="0" applyNumberFormat="1" applyFont="1" applyFill="1" applyBorder="1"/>
    <xf numFmtId="166" fontId="16" fillId="3" borderId="17" xfId="0" applyNumberFormat="1" applyFont="1" applyFill="1" applyBorder="1" applyAlignment="1">
      <alignment horizontal="center"/>
    </xf>
    <xf numFmtId="165" fontId="15" fillId="7" borderId="0" xfId="2" applyNumberFormat="1" applyFont="1" applyFill="1" applyAlignment="1">
      <alignment horizontal="center"/>
    </xf>
    <xf numFmtId="2" fontId="16" fillId="3" borderId="17" xfId="0" applyNumberFormat="1" applyFont="1" applyFill="1" applyBorder="1" applyAlignment="1">
      <alignment horizontal="center"/>
    </xf>
    <xf numFmtId="40" fontId="16" fillId="3" borderId="17" xfId="1" applyNumberFormat="1" applyFont="1" applyFill="1" applyBorder="1" applyAlignment="1">
      <alignment horizontal="center"/>
    </xf>
    <xf numFmtId="165" fontId="16" fillId="3" borderId="17" xfId="2" applyNumberFormat="1" applyFont="1" applyFill="1" applyBorder="1" applyAlignment="1">
      <alignment horizontal="center"/>
    </xf>
    <xf numFmtId="165" fontId="5" fillId="6" borderId="0" xfId="2" applyNumberFormat="1" applyFont="1" applyFill="1" applyAlignment="1">
      <alignment horizontal="center"/>
    </xf>
    <xf numFmtId="165" fontId="6" fillId="8" borderId="0" xfId="0" quotePrefix="1" applyNumberFormat="1" applyFont="1" applyFill="1" applyBorder="1" applyAlignment="1">
      <alignment horizontal="center" vertical="top" wrapText="1"/>
    </xf>
    <xf numFmtId="165" fontId="6" fillId="8" borderId="0" xfId="0" applyNumberFormat="1" applyFont="1" applyFill="1" applyBorder="1" applyAlignment="1">
      <alignment horizontal="center" vertical="top" wrapText="1"/>
    </xf>
    <xf numFmtId="4" fontId="2" fillId="3" borderId="0" xfId="0" applyNumberFormat="1" applyFont="1" applyFill="1"/>
    <xf numFmtId="165" fontId="5" fillId="5" borderId="0" xfId="2" applyNumberFormat="1" applyFont="1" applyFill="1" applyAlignment="1">
      <alignment horizontal="center"/>
    </xf>
    <xf numFmtId="2" fontId="15" fillId="3" borderId="17" xfId="0" applyNumberFormat="1" applyFont="1" applyFill="1" applyBorder="1" applyAlignment="1">
      <alignment vertical="center"/>
    </xf>
    <xf numFmtId="166" fontId="16" fillId="3" borderId="17" xfId="0" applyNumberFormat="1" applyFont="1" applyFill="1" applyBorder="1" applyAlignment="1">
      <alignment horizontal="center" vertical="center"/>
    </xf>
    <xf numFmtId="165" fontId="6" fillId="8" borderId="0" xfId="0" applyNumberFormat="1" applyFont="1" applyFill="1" applyBorder="1" applyAlignment="1">
      <alignment horizontal="center" vertical="center" wrapText="1"/>
    </xf>
    <xf numFmtId="2" fontId="16" fillId="3" borderId="17" xfId="0" applyNumberFormat="1" applyFont="1" applyFill="1" applyBorder="1" applyAlignment="1">
      <alignment horizontal="center" vertical="center"/>
    </xf>
    <xf numFmtId="165" fontId="16" fillId="3" borderId="17" xfId="2" applyNumberFormat="1" applyFont="1" applyFill="1" applyBorder="1" applyAlignment="1">
      <alignment horizontal="center" vertical="center"/>
    </xf>
    <xf numFmtId="165" fontId="15" fillId="9" borderId="0" xfId="2" applyNumberFormat="1" applyFont="1" applyFill="1" applyAlignment="1">
      <alignment horizontal="center"/>
    </xf>
    <xf numFmtId="167" fontId="0" fillId="0" borderId="0" xfId="1" applyNumberFormat="1" applyFont="1" applyFill="1"/>
    <xf numFmtId="164" fontId="0" fillId="0" borderId="0" xfId="0" applyNumberFormat="1" applyFill="1"/>
    <xf numFmtId="43" fontId="0" fillId="0" borderId="0" xfId="1" applyFont="1" applyFill="1"/>
    <xf numFmtId="168" fontId="0" fillId="0" borderId="0" xfId="0" applyNumberFormat="1" applyFill="1"/>
    <xf numFmtId="169" fontId="0" fillId="0" borderId="0" xfId="0" applyNumberFormat="1" applyFill="1"/>
    <xf numFmtId="165" fontId="15" fillId="7" borderId="0" xfId="2" applyNumberFormat="1" applyFont="1" applyFill="1" applyAlignment="1">
      <alignment horizontal="center" wrapText="1"/>
    </xf>
    <xf numFmtId="9" fontId="3" fillId="3" borderId="0" xfId="0" applyNumberFormat="1" applyFont="1" applyFill="1" applyBorder="1" applyAlignment="1">
      <alignment horizontal="center" vertical="center"/>
    </xf>
    <xf numFmtId="1" fontId="16" fillId="3" borderId="17" xfId="0" applyNumberFormat="1" applyFont="1" applyFill="1" applyBorder="1" applyAlignment="1">
      <alignment horizontal="center"/>
    </xf>
    <xf numFmtId="0" fontId="6" fillId="3" borderId="0" xfId="0" applyFont="1" applyFill="1" applyBorder="1" applyAlignment="1">
      <alignment horizontal="right" vertical="top" wrapText="1"/>
    </xf>
    <xf numFmtId="9" fontId="17" fillId="3" borderId="0" xfId="0" applyNumberFormat="1" applyFont="1" applyFill="1" applyBorder="1" applyAlignment="1">
      <alignment horizontal="center" vertical="top" wrapText="1"/>
    </xf>
    <xf numFmtId="1" fontId="9" fillId="5" borderId="0" xfId="0" applyNumberFormat="1" applyFont="1" applyFill="1" applyBorder="1" applyAlignment="1">
      <alignment horizontal="center" vertical="center"/>
    </xf>
    <xf numFmtId="0" fontId="2" fillId="3" borderId="0" xfId="0" applyFont="1" applyFill="1" applyBorder="1" applyAlignment="1">
      <alignment horizontal="center" vertical="top" wrapText="1"/>
    </xf>
    <xf numFmtId="3" fontId="0" fillId="3" borderId="0" xfId="0" applyNumberFormat="1" applyFill="1" applyBorder="1" applyAlignment="1">
      <alignment horizontal="right" indent="1"/>
    </xf>
    <xf numFmtId="3" fontId="0" fillId="3" borderId="0" xfId="0" applyNumberFormat="1" applyFill="1" applyBorder="1" applyAlignment="1">
      <alignment horizontal="right" wrapText="1" indent="1"/>
    </xf>
    <xf numFmtId="166" fontId="17" fillId="3" borderId="0" xfId="0" applyNumberFormat="1" applyFont="1" applyFill="1" applyBorder="1" applyAlignment="1">
      <alignment horizontal="center" vertical="top" wrapText="1"/>
    </xf>
    <xf numFmtId="3" fontId="0" fillId="3" borderId="0" xfId="0" applyNumberFormat="1" applyFill="1" applyBorder="1"/>
    <xf numFmtId="3" fontId="0" fillId="3" borderId="0" xfId="0" applyNumberFormat="1" applyFill="1" applyBorder="1" applyAlignment="1">
      <alignment horizontal="right" wrapText="1"/>
    </xf>
    <xf numFmtId="165" fontId="3" fillId="3" borderId="0" xfId="0" applyNumberFormat="1" applyFont="1" applyFill="1" applyBorder="1"/>
    <xf numFmtId="0" fontId="0" fillId="3" borderId="0" xfId="0" applyFill="1" applyBorder="1"/>
    <xf numFmtId="43" fontId="0" fillId="3" borderId="0" xfId="1" applyFont="1" applyFill="1" applyBorder="1" applyAlignment="1">
      <alignment horizontal="right" wrapText="1"/>
    </xf>
    <xf numFmtId="165" fontId="0" fillId="3" borderId="0" xfId="2" applyNumberFormat="1" applyFont="1" applyFill="1" applyBorder="1" applyAlignment="1">
      <alignment horizontal="right" wrapText="1"/>
    </xf>
    <xf numFmtId="9" fontId="18" fillId="3" borderId="0" xfId="0" applyNumberFormat="1" applyFont="1" applyFill="1" applyBorder="1" applyAlignment="1">
      <alignment horizontal="center" vertical="center"/>
    </xf>
    <xf numFmtId="9" fontId="18" fillId="3" borderId="0" xfId="0" applyNumberFormat="1" applyFont="1" applyFill="1" applyBorder="1" applyAlignment="1">
      <alignment horizontal="center"/>
    </xf>
    <xf numFmtId="0" fontId="19" fillId="0" borderId="0" xfId="0" applyFont="1" applyFill="1"/>
    <xf numFmtId="0" fontId="19" fillId="0" borderId="0" xfId="0" applyFont="1"/>
    <xf numFmtId="0" fontId="20" fillId="3" borderId="0" xfId="0" applyFont="1" applyFill="1" applyBorder="1" applyAlignment="1">
      <alignment vertical="center" wrapText="1"/>
    </xf>
    <xf numFmtId="0" fontId="0" fillId="3" borderId="0" xfId="0" applyFill="1" applyAlignment="1">
      <alignment horizontal="center"/>
    </xf>
    <xf numFmtId="0" fontId="4" fillId="3" borderId="0" xfId="0" applyFont="1" applyFill="1" applyAlignment="1">
      <alignment horizontal="center"/>
    </xf>
    <xf numFmtId="0" fontId="15" fillId="7" borderId="0" xfId="0" applyFont="1" applyFill="1"/>
    <xf numFmtId="164" fontId="0" fillId="3" borderId="18" xfId="0" applyNumberFormat="1" applyFill="1" applyBorder="1" applyAlignment="1">
      <alignment horizontal="center"/>
    </xf>
    <xf numFmtId="167" fontId="0" fillId="3" borderId="18" xfId="1" applyNumberFormat="1" applyFont="1" applyFill="1" applyBorder="1" applyAlignment="1">
      <alignment horizontal="center"/>
    </xf>
    <xf numFmtId="0" fontId="0" fillId="3" borderId="18" xfId="0" applyFill="1" applyBorder="1" applyAlignment="1">
      <alignment horizontal="center"/>
    </xf>
    <xf numFmtId="170" fontId="12" fillId="3" borderId="18" xfId="1" applyNumberFormat="1" applyFont="1" applyFill="1" applyBorder="1" applyAlignment="1">
      <alignment horizontal="center"/>
    </xf>
    <xf numFmtId="4" fontId="2" fillId="3" borderId="19" xfId="0" applyNumberFormat="1" applyFont="1" applyFill="1" applyBorder="1" applyAlignment="1">
      <alignment horizontal="center" wrapText="1"/>
    </xf>
    <xf numFmtId="9" fontId="2" fillId="3" borderId="19" xfId="2" applyFont="1" applyFill="1" applyBorder="1" applyAlignment="1">
      <alignment horizontal="center"/>
    </xf>
    <xf numFmtId="0" fontId="15" fillId="9" borderId="0" xfId="0" applyFont="1" applyFill="1"/>
    <xf numFmtId="164" fontId="6" fillId="3" borderId="0" xfId="0" applyNumberFormat="1" applyFont="1" applyFill="1" applyBorder="1" applyAlignment="1">
      <alignment horizontal="left"/>
    </xf>
    <xf numFmtId="167" fontId="0" fillId="3" borderId="0" xfId="1" applyNumberFormat="1" applyFont="1" applyFill="1" applyBorder="1" applyAlignment="1">
      <alignment horizontal="center"/>
    </xf>
    <xf numFmtId="0" fontId="0" fillId="3" borderId="0" xfId="0" applyFill="1" applyBorder="1" applyAlignment="1">
      <alignment horizontal="center"/>
    </xf>
    <xf numFmtId="170" fontId="12" fillId="3" borderId="0" xfId="1" applyNumberFormat="1" applyFont="1" applyFill="1" applyBorder="1" applyAlignment="1">
      <alignment horizontal="center"/>
    </xf>
    <xf numFmtId="4" fontId="2" fillId="3" borderId="20" xfId="0" applyNumberFormat="1" applyFont="1" applyFill="1" applyBorder="1" applyAlignment="1">
      <alignment horizontal="center" wrapText="1"/>
    </xf>
    <xf numFmtId="9" fontId="2" fillId="3" borderId="20" xfId="2" applyFont="1" applyFill="1" applyBorder="1" applyAlignment="1">
      <alignment horizontal="center"/>
    </xf>
    <xf numFmtId="0" fontId="5" fillId="6" borderId="0" xfId="0" applyFont="1" applyFill="1"/>
    <xf numFmtId="0" fontId="12" fillId="3" borderId="0" xfId="0" applyFont="1" applyFill="1" applyBorder="1" applyAlignment="1">
      <alignment horizontal="center"/>
    </xf>
    <xf numFmtId="0" fontId="5" fillId="5" borderId="0" xfId="0" applyFont="1" applyFill="1"/>
    <xf numFmtId="0" fontId="0" fillId="3" borderId="17" xfId="0" applyFill="1" applyBorder="1" applyAlignment="1">
      <alignment horizontal="center"/>
    </xf>
    <xf numFmtId="0" fontId="12" fillId="3" borderId="17" xfId="0" applyFont="1" applyFill="1" applyBorder="1" applyAlignment="1">
      <alignment horizontal="center"/>
    </xf>
    <xf numFmtId="4" fontId="2" fillId="3" borderId="21" xfId="0" applyNumberFormat="1" applyFont="1" applyFill="1" applyBorder="1" applyAlignment="1">
      <alignment horizontal="center" wrapText="1"/>
    </xf>
    <xf numFmtId="9" fontId="2" fillId="3" borderId="21" xfId="2" applyFont="1" applyFill="1" applyBorder="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xf numFmtId="9" fontId="2" fillId="0" borderId="0" xfId="2" applyFont="1"/>
    <xf numFmtId="164" fontId="2" fillId="0" borderId="0" xfId="0" applyNumberFormat="1" applyFont="1"/>
    <xf numFmtId="0" fontId="2" fillId="0" borderId="0" xfId="0" applyFont="1"/>
    <xf numFmtId="0" fontId="2" fillId="0" borderId="0" xfId="0" applyFont="1" applyFill="1"/>
    <xf numFmtId="4" fontId="2" fillId="0" borderId="0" xfId="0" applyNumberFormat="1" applyFont="1"/>
    <xf numFmtId="0" fontId="23" fillId="0" borderId="0" xfId="0" applyFont="1" applyFill="1"/>
    <xf numFmtId="0" fontId="2" fillId="3" borderId="0" xfId="0" applyFont="1" applyFill="1" applyAlignment="1">
      <alignment horizontal="center"/>
    </xf>
    <xf numFmtId="0" fontId="24" fillId="3" borderId="0" xfId="0" applyFont="1" applyFill="1" applyBorder="1" applyAlignment="1">
      <alignment horizontal="center"/>
    </xf>
    <xf numFmtId="0" fontId="2" fillId="3" borderId="0" xfId="0" applyFont="1" applyFill="1" applyAlignment="1"/>
    <xf numFmtId="0" fontId="25" fillId="3" borderId="0" xfId="0" applyFont="1" applyFill="1"/>
    <xf numFmtId="10" fontId="0" fillId="0" borderId="0" xfId="0" applyNumberFormat="1" applyFill="1"/>
    <xf numFmtId="9" fontId="0" fillId="0" borderId="0" xfId="0" applyNumberFormat="1" applyFill="1"/>
    <xf numFmtId="0" fontId="6" fillId="0" borderId="0" xfId="0" applyFont="1"/>
    <xf numFmtId="3" fontId="0" fillId="0" borderId="0" xfId="0" applyNumberFormat="1"/>
    <xf numFmtId="0" fontId="3" fillId="0" borderId="0" xfId="0" applyFont="1"/>
    <xf numFmtId="0" fontId="3" fillId="0" borderId="0" xfId="0" applyFont="1" applyFill="1"/>
    <xf numFmtId="167" fontId="3" fillId="0" borderId="0" xfId="1" applyNumberFormat="1" applyFont="1" applyFill="1"/>
    <xf numFmtId="164" fontId="3" fillId="0" borderId="0" xfId="0" applyNumberFormat="1" applyFont="1" applyFill="1"/>
    <xf numFmtId="0" fontId="18" fillId="0" borderId="0" xfId="0" applyFont="1" applyFill="1"/>
    <xf numFmtId="0" fontId="13" fillId="0" borderId="0" xfId="0" applyFont="1" applyAlignment="1">
      <alignment horizontal="center" vertical="center"/>
    </xf>
    <xf numFmtId="0" fontId="0" fillId="0" borderId="0" xfId="0" applyAlignment="1">
      <alignment horizontal="center" vertical="center" wrapText="1"/>
    </xf>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wrapText="1"/>
    </xf>
    <xf numFmtId="0" fontId="26"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5" xfId="0" applyFont="1" applyBorder="1" applyAlignment="1">
      <alignment horizontal="center" vertical="center" wrapText="1"/>
    </xf>
    <xf numFmtId="0" fontId="13" fillId="0" borderId="28" xfId="0" applyFont="1" applyBorder="1" applyAlignment="1">
      <alignment horizontal="center" vertical="center" wrapText="1"/>
    </xf>
    <xf numFmtId="164" fontId="13" fillId="0" borderId="0" xfId="0" applyNumberFormat="1" applyFont="1" applyBorder="1" applyAlignment="1">
      <alignment horizontal="center" vertical="center" wrapText="1"/>
    </xf>
    <xf numFmtId="164" fontId="13" fillId="0" borderId="15" xfId="0" applyNumberFormat="1" applyFont="1" applyBorder="1" applyAlignment="1">
      <alignment horizontal="center" vertical="center" wrapText="1"/>
    </xf>
    <xf numFmtId="0" fontId="6" fillId="0" borderId="28" xfId="0" applyFont="1" applyBorder="1" applyAlignment="1">
      <alignment horizontal="center" vertical="center" wrapText="1"/>
    </xf>
    <xf numFmtId="3" fontId="0" fillId="0" borderId="0" xfId="0" applyNumberFormat="1" applyBorder="1" applyAlignment="1">
      <alignment horizontal="center" vertical="center" wrapText="1"/>
    </xf>
    <xf numFmtId="3" fontId="0" fillId="0" borderId="15" xfId="0" applyNumberFormat="1" applyBorder="1" applyAlignment="1">
      <alignment horizontal="center" vertical="center" wrapText="1"/>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center" vertical="center" wrapText="1"/>
    </xf>
    <xf numFmtId="164" fontId="3" fillId="0" borderId="15" xfId="0" applyNumberFormat="1" applyFont="1" applyBorder="1" applyAlignment="1">
      <alignment horizontal="center" vertical="center" wrapText="1"/>
    </xf>
    <xf numFmtId="164" fontId="3" fillId="0" borderId="14" xfId="0" applyNumberFormat="1" applyFont="1" applyBorder="1" applyAlignment="1">
      <alignment horizontal="center" vertical="center" wrapText="1"/>
    </xf>
    <xf numFmtId="164" fontId="3" fillId="0" borderId="34" xfId="0" applyNumberFormat="1" applyFont="1" applyBorder="1" applyAlignment="1">
      <alignment horizontal="center" vertical="center" wrapText="1"/>
    </xf>
    <xf numFmtId="164" fontId="3" fillId="0" borderId="35" xfId="0" applyNumberFormat="1" applyFont="1" applyBorder="1" applyAlignment="1">
      <alignment horizontal="center" vertical="center" wrapText="1"/>
    </xf>
    <xf numFmtId="164" fontId="3" fillId="0" borderId="37" xfId="0" applyNumberFormat="1" applyFont="1" applyBorder="1" applyAlignment="1">
      <alignment horizontal="center" vertical="center" wrapText="1"/>
    </xf>
    <xf numFmtId="164" fontId="3" fillId="0" borderId="15" xfId="0" quotePrefix="1" applyNumberFormat="1" applyFont="1" applyBorder="1" applyAlignment="1">
      <alignment horizontal="center" vertical="center" wrapText="1"/>
    </xf>
    <xf numFmtId="164" fontId="3" fillId="0" borderId="0" xfId="0" quotePrefix="1" applyNumberFormat="1" applyFont="1" applyBorder="1" applyAlignment="1">
      <alignment horizontal="center" vertical="center" wrapText="1"/>
    </xf>
    <xf numFmtId="0" fontId="28" fillId="0" borderId="38" xfId="0" applyFont="1" applyBorder="1" applyAlignment="1">
      <alignment horizontal="center" vertical="center" wrapText="1"/>
    </xf>
    <xf numFmtId="0" fontId="28" fillId="0" borderId="23" xfId="0" applyFont="1" applyBorder="1" applyAlignment="1">
      <alignment horizontal="center" vertical="center" wrapText="1"/>
    </xf>
    <xf numFmtId="164" fontId="3" fillId="0" borderId="0" xfId="0" applyNumberFormat="1" applyFont="1" applyBorder="1" applyAlignment="1">
      <alignment horizontal="center" vertical="center" wrapText="1"/>
    </xf>
    <xf numFmtId="164" fontId="3" fillId="0" borderId="39" xfId="0" applyNumberFormat="1" applyFont="1" applyBorder="1" applyAlignment="1">
      <alignment horizontal="center" vertical="center" wrapText="1"/>
    </xf>
    <xf numFmtId="164" fontId="3" fillId="0" borderId="40" xfId="0" applyNumberFormat="1" applyFont="1" applyBorder="1" applyAlignment="1">
      <alignment horizontal="center" vertical="center" wrapText="1"/>
    </xf>
    <xf numFmtId="164" fontId="3" fillId="0" borderId="32" xfId="0" quotePrefix="1" applyNumberFormat="1" applyFont="1" applyBorder="1" applyAlignment="1">
      <alignment horizontal="center" vertical="center" wrapText="1"/>
    </xf>
    <xf numFmtId="164" fontId="3" fillId="0" borderId="39" xfId="0" quotePrefix="1" applyNumberFormat="1" applyFont="1" applyBorder="1" applyAlignment="1">
      <alignment horizontal="center" vertical="center" wrapText="1"/>
    </xf>
    <xf numFmtId="164" fontId="0" fillId="0" borderId="0" xfId="0" applyNumberFormat="1" applyAlignment="1">
      <alignment vertical="center"/>
    </xf>
    <xf numFmtId="0" fontId="3" fillId="0" borderId="41" xfId="0" applyFont="1" applyBorder="1" applyAlignment="1">
      <alignment horizontal="center" vertical="center" wrapText="1"/>
    </xf>
    <xf numFmtId="164" fontId="3" fillId="0" borderId="42" xfId="0" applyNumberFormat="1" applyFont="1" applyBorder="1" applyAlignment="1">
      <alignment horizontal="center" vertical="center" wrapText="1"/>
    </xf>
    <xf numFmtId="164" fontId="3" fillId="0" borderId="43" xfId="0" quotePrefix="1" applyNumberFormat="1" applyFont="1" applyBorder="1" applyAlignment="1">
      <alignment horizontal="center" vertical="center" wrapText="1"/>
    </xf>
    <xf numFmtId="3" fontId="3" fillId="0" borderId="43" xfId="0" applyNumberFormat="1" applyFont="1" applyBorder="1" applyAlignment="1">
      <alignment horizontal="center" vertical="center" wrapText="1"/>
    </xf>
    <xf numFmtId="164" fontId="3" fillId="0" borderId="30" xfId="0" quotePrefix="1" applyNumberFormat="1" applyFont="1" applyBorder="1" applyAlignment="1">
      <alignment horizontal="center" vertical="center" wrapText="1"/>
    </xf>
    <xf numFmtId="164" fontId="3" fillId="0" borderId="40" xfId="0" quotePrefix="1" applyNumberFormat="1" applyFont="1" applyBorder="1" applyAlignment="1">
      <alignment horizontal="center" vertical="center" wrapText="1"/>
    </xf>
    <xf numFmtId="164" fontId="3" fillId="0" borderId="38" xfId="0" applyNumberFormat="1" applyFont="1" applyBorder="1" applyAlignment="1">
      <alignment horizontal="center" vertical="center" wrapText="1"/>
    </xf>
    <xf numFmtId="3" fontId="3" fillId="0" borderId="38" xfId="0" applyNumberFormat="1" applyFont="1" applyBorder="1" applyAlignment="1">
      <alignment horizontal="center" vertical="center" wrapText="1"/>
    </xf>
    <xf numFmtId="164" fontId="0" fillId="0" borderId="0" xfId="0" applyNumberFormat="1" applyFill="1" applyAlignment="1">
      <alignment vertical="center"/>
    </xf>
    <xf numFmtId="164" fontId="3" fillId="0" borderId="44" xfId="0" applyNumberFormat="1" applyFont="1" applyBorder="1" applyAlignment="1">
      <alignment horizontal="center" vertical="center" wrapText="1"/>
    </xf>
    <xf numFmtId="0" fontId="3" fillId="0" borderId="45" xfId="0" applyFont="1" applyBorder="1" applyAlignment="1">
      <alignment horizontal="center" vertical="center" wrapText="1"/>
    </xf>
    <xf numFmtId="164" fontId="3" fillId="0" borderId="46" xfId="0" applyNumberFormat="1" applyFont="1" applyBorder="1" applyAlignment="1">
      <alignment vertical="center" wrapText="1"/>
    </xf>
    <xf numFmtId="164" fontId="3" fillId="0" borderId="47" xfId="0" applyNumberFormat="1" applyFont="1" applyBorder="1" applyAlignment="1">
      <alignment vertical="center" wrapText="1"/>
    </xf>
    <xf numFmtId="0" fontId="3" fillId="0" borderId="28" xfId="0" applyFont="1" applyFill="1" applyBorder="1" applyAlignment="1">
      <alignment horizontal="center" vertical="center" wrapText="1"/>
    </xf>
    <xf numFmtId="0" fontId="3" fillId="0" borderId="41" xfId="0" applyFont="1" applyFill="1" applyBorder="1" applyAlignment="1">
      <alignment horizontal="center" vertical="center" wrapText="1"/>
    </xf>
    <xf numFmtId="164" fontId="3" fillId="0" borderId="42" xfId="0" quotePrefix="1" applyNumberFormat="1" applyFont="1" applyBorder="1" applyAlignment="1">
      <alignment horizontal="center" vertical="center" wrapText="1"/>
    </xf>
    <xf numFmtId="164" fontId="3" fillId="0" borderId="43" xfId="0" applyNumberFormat="1" applyFont="1" applyBorder="1" applyAlignment="1">
      <alignment horizontal="center" vertical="center" wrapText="1"/>
    </xf>
    <xf numFmtId="164" fontId="3" fillId="10" borderId="43"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50" xfId="0" applyFont="1" applyBorder="1" applyAlignment="1">
      <alignment horizontal="center" vertical="center" wrapText="1"/>
    </xf>
    <xf numFmtId="0" fontId="13" fillId="0" borderId="51" xfId="0" applyFont="1" applyBorder="1" applyAlignment="1">
      <alignment horizontal="center" vertical="center" wrapText="1"/>
    </xf>
    <xf numFmtId="164" fontId="3" fillId="0" borderId="52" xfId="0" applyNumberFormat="1" applyFont="1" applyBorder="1" applyAlignment="1">
      <alignment horizontal="center" vertical="center" wrapText="1"/>
    </xf>
    <xf numFmtId="164" fontId="13" fillId="0" borderId="52" xfId="0" applyNumberFormat="1" applyFont="1" applyBorder="1" applyAlignment="1">
      <alignment horizontal="center" vertical="center" wrapText="1"/>
    </xf>
    <xf numFmtId="164" fontId="13" fillId="0" borderId="53" xfId="0" applyNumberFormat="1" applyFont="1" applyBorder="1" applyAlignment="1">
      <alignment horizontal="center" vertical="center" wrapText="1"/>
    </xf>
    <xf numFmtId="0" fontId="6" fillId="0" borderId="51" xfId="0" applyFont="1" applyBorder="1" applyAlignment="1">
      <alignment horizontal="center" vertical="center" wrapText="1"/>
    </xf>
    <xf numFmtId="164" fontId="3" fillId="0" borderId="53" xfId="0" applyNumberFormat="1" applyFont="1" applyBorder="1" applyAlignment="1">
      <alignment horizontal="center" vertical="center" wrapText="1"/>
    </xf>
    <xf numFmtId="0" fontId="3" fillId="0" borderId="51" xfId="0" applyFont="1" applyBorder="1" applyAlignment="1">
      <alignment horizontal="center" vertical="center" wrapText="1"/>
    </xf>
    <xf numFmtId="164" fontId="3" fillId="0" borderId="52" xfId="0" applyNumberFormat="1" applyFont="1" applyBorder="1" applyAlignment="1">
      <alignment vertical="center" wrapText="1"/>
    </xf>
    <xf numFmtId="164" fontId="3" fillId="0" borderId="52" xfId="0" quotePrefix="1" applyNumberFormat="1" applyFont="1" applyFill="1" applyBorder="1" applyAlignment="1">
      <alignment horizontal="center" vertical="center" wrapText="1"/>
    </xf>
    <xf numFmtId="164" fontId="3" fillId="0" borderId="52" xfId="0" quotePrefix="1" applyNumberFormat="1" applyFont="1" applyBorder="1" applyAlignment="1">
      <alignment horizontal="center" vertical="center" wrapText="1"/>
    </xf>
    <xf numFmtId="164" fontId="3" fillId="10" borderId="52" xfId="0" applyNumberFormat="1" applyFont="1" applyFill="1" applyBorder="1" applyAlignment="1">
      <alignment horizontal="center" vertical="center" wrapText="1"/>
    </xf>
    <xf numFmtId="164" fontId="3" fillId="0" borderId="53" xfId="0" quotePrefix="1" applyNumberFormat="1" applyFont="1" applyBorder="1" applyAlignment="1">
      <alignment horizontal="center" vertical="center" wrapText="1"/>
    </xf>
    <xf numFmtId="0" fontId="2" fillId="0" borderId="54" xfId="0" applyFont="1" applyBorder="1" applyAlignment="1">
      <alignment horizontal="center" vertical="center" wrapText="1"/>
    </xf>
    <xf numFmtId="164" fontId="3" fillId="0" borderId="55" xfId="0" applyNumberFormat="1" applyFont="1" applyBorder="1" applyAlignment="1">
      <alignment horizontal="center" vertical="center" wrapText="1"/>
    </xf>
    <xf numFmtId="164" fontId="3" fillId="10" borderId="55" xfId="0" applyNumberFormat="1" applyFont="1" applyFill="1" applyBorder="1" applyAlignment="1">
      <alignment horizontal="center" vertical="center" wrapText="1"/>
    </xf>
    <xf numFmtId="164" fontId="3" fillId="0" borderId="56" xfId="0" applyNumberFormat="1" applyFont="1" applyBorder="1" applyAlignment="1">
      <alignment horizontal="center" vertical="center" wrapText="1"/>
    </xf>
    <xf numFmtId="0" fontId="6" fillId="0" borderId="57" xfId="0" applyFont="1" applyBorder="1" applyAlignment="1">
      <alignment horizontal="center" vertical="center" wrapText="1"/>
    </xf>
    <xf numFmtId="164" fontId="3" fillId="0" borderId="58" xfId="0" applyNumberFormat="1" applyFont="1" applyBorder="1" applyAlignment="1">
      <alignment horizontal="center" vertical="center" wrapText="1"/>
    </xf>
    <xf numFmtId="164" fontId="3" fillId="0" borderId="59" xfId="0" applyNumberFormat="1" applyFont="1" applyBorder="1" applyAlignment="1">
      <alignment horizontal="center" vertical="center" wrapText="1"/>
    </xf>
    <xf numFmtId="164" fontId="3" fillId="0" borderId="60" xfId="0" applyNumberFormat="1" applyFont="1" applyBorder="1" applyAlignment="1">
      <alignment horizontal="center" vertical="center" wrapText="1"/>
    </xf>
    <xf numFmtId="0" fontId="3" fillId="0" borderId="42" xfId="0" applyFont="1" applyBorder="1" applyAlignment="1">
      <alignment horizontal="center" vertical="center"/>
    </xf>
    <xf numFmtId="0" fontId="3" fillId="0" borderId="40" xfId="0" applyFont="1" applyBorder="1" applyAlignment="1">
      <alignment horizontal="center" vertical="center" wrapText="1"/>
    </xf>
    <xf numFmtId="0" fontId="0" fillId="0" borderId="43" xfId="0" applyBorder="1" applyAlignment="1">
      <alignment horizontal="center" vertical="center" wrapText="1"/>
    </xf>
    <xf numFmtId="0" fontId="3" fillId="0" borderId="0" xfId="0" applyFont="1" applyAlignment="1">
      <alignment horizontal="center" vertical="center"/>
    </xf>
    <xf numFmtId="0" fontId="3" fillId="0" borderId="36" xfId="0" applyFont="1" applyBorder="1" applyAlignment="1">
      <alignment horizontal="center" vertical="center" wrapText="1"/>
    </xf>
    <xf numFmtId="0" fontId="0" fillId="0" borderId="32" xfId="0" applyBorder="1" applyAlignment="1">
      <alignment horizontal="center" vertical="center" wrapText="1"/>
    </xf>
    <xf numFmtId="164" fontId="3" fillId="10" borderId="42" xfId="0" quotePrefix="1" applyNumberFormat="1" applyFont="1" applyFill="1" applyBorder="1" applyAlignment="1">
      <alignment horizontal="center" vertical="center" wrapText="1"/>
    </xf>
    <xf numFmtId="0" fontId="29" fillId="11" borderId="61" xfId="0" applyFont="1" applyFill="1" applyBorder="1" applyAlignment="1">
      <alignment horizontal="center" vertical="center" wrapText="1"/>
    </xf>
    <xf numFmtId="0" fontId="30" fillId="0" borderId="0" xfId="4" applyFont="1" applyFill="1" applyBorder="1" applyAlignment="1">
      <alignment horizontal="left" vertical="center"/>
    </xf>
    <xf numFmtId="0" fontId="29" fillId="11" borderId="61" xfId="5" applyFont="1" applyFill="1" applyBorder="1" applyAlignment="1">
      <alignment horizontal="center" vertical="center" wrapText="1"/>
    </xf>
    <xf numFmtId="0" fontId="0" fillId="0" borderId="0" xfId="0" applyAlignment="1">
      <alignment horizontal="left"/>
    </xf>
    <xf numFmtId="43" fontId="0" fillId="0" borderId="0" xfId="1" applyNumberFormat="1" applyFont="1"/>
    <xf numFmtId="43" fontId="0" fillId="0" borderId="0" xfId="0" applyNumberFormat="1"/>
    <xf numFmtId="9" fontId="0" fillId="0" borderId="0" xfId="2" applyFont="1"/>
    <xf numFmtId="0" fontId="0" fillId="0" borderId="0" xfId="0" applyAlignment="1">
      <alignment vertical="top"/>
    </xf>
    <xf numFmtId="2" fontId="9" fillId="5" borderId="0" xfId="0" applyNumberFormat="1" applyFont="1" applyFill="1" applyBorder="1" applyAlignment="1">
      <alignment vertical="top" wrapText="1"/>
    </xf>
    <xf numFmtId="0" fontId="9" fillId="5" borderId="0" xfId="0" applyFont="1" applyFill="1" applyBorder="1" applyAlignment="1">
      <alignment vertical="top"/>
    </xf>
    <xf numFmtId="14" fontId="9" fillId="5" borderId="0" xfId="0" applyNumberFormat="1" applyFont="1" applyFill="1" applyBorder="1" applyAlignment="1">
      <alignment vertical="top" wrapText="1"/>
    </xf>
    <xf numFmtId="164" fontId="3" fillId="3" borderId="0" xfId="0" applyNumberFormat="1" applyFont="1" applyFill="1" applyBorder="1" applyAlignment="1">
      <alignment horizontal="right" vertical="top" wrapText="1"/>
    </xf>
    <xf numFmtId="0" fontId="10" fillId="6" borderId="0" xfId="0" applyFont="1" applyFill="1" applyBorder="1" applyAlignment="1">
      <alignment vertical="top"/>
    </xf>
    <xf numFmtId="166" fontId="10" fillId="6" borderId="0" xfId="0" applyNumberFormat="1" applyFont="1" applyFill="1" applyBorder="1" applyAlignment="1">
      <alignment horizontal="center" vertical="top" wrapText="1"/>
    </xf>
    <xf numFmtId="2" fontId="15" fillId="3" borderId="17" xfId="0" applyNumberFormat="1" applyFont="1" applyFill="1" applyBorder="1" applyAlignment="1">
      <alignment vertical="top"/>
    </xf>
    <xf numFmtId="166" fontId="16" fillId="3" borderId="17" xfId="0" applyNumberFormat="1" applyFont="1" applyFill="1" applyBorder="1" applyAlignment="1">
      <alignment horizontal="center" vertical="top" wrapText="1"/>
    </xf>
    <xf numFmtId="164" fontId="3" fillId="3" borderId="0" xfId="0" applyNumberFormat="1" applyFont="1" applyFill="1" applyBorder="1" applyAlignment="1">
      <alignment horizontal="center" vertical="top" wrapText="1"/>
    </xf>
    <xf numFmtId="0" fontId="0" fillId="0" borderId="0" xfId="0" applyAlignment="1">
      <alignment vertical="top" wrapText="1"/>
    </xf>
    <xf numFmtId="14" fontId="2" fillId="3" borderId="0" xfId="0" quotePrefix="1" applyNumberFormat="1" applyFont="1" applyFill="1"/>
    <xf numFmtId="0" fontId="31" fillId="0" borderId="0" xfId="0" applyFont="1" applyAlignment="1">
      <alignment horizontal="left" vertical="top" wrapText="1"/>
    </xf>
    <xf numFmtId="0" fontId="32" fillId="0" borderId="0" xfId="0" applyFont="1" applyAlignment="1">
      <alignment horizontal="center" vertical="top" wrapText="1"/>
    </xf>
    <xf numFmtId="0" fontId="33" fillId="0" borderId="0" xfId="0" applyFont="1" applyAlignment="1">
      <alignment horizontal="left" vertical="top" wrapText="1"/>
    </xf>
    <xf numFmtId="0" fontId="31" fillId="0" borderId="0" xfId="0" applyFont="1" applyAlignment="1">
      <alignment horizontal="left" vertical="top" wrapText="1" indent="2"/>
    </xf>
    <xf numFmtId="0" fontId="36" fillId="15" borderId="0" xfId="0" applyFont="1" applyFill="1"/>
    <xf numFmtId="0" fontId="29" fillId="11" borderId="63" xfId="0" applyFont="1" applyFill="1" applyBorder="1" applyAlignment="1">
      <alignment horizontal="center" vertical="center" wrapText="1"/>
    </xf>
    <xf numFmtId="0" fontId="0" fillId="14" borderId="63" xfId="0" applyFill="1" applyBorder="1"/>
    <xf numFmtId="171" fontId="0" fillId="14" borderId="63" xfId="0" applyNumberFormat="1" applyFill="1" applyBorder="1"/>
    <xf numFmtId="43" fontId="0" fillId="14" borderId="63" xfId="0" applyNumberFormat="1" applyFill="1" applyBorder="1"/>
    <xf numFmtId="0" fontId="35" fillId="14" borderId="63" xfId="0" applyFont="1" applyFill="1" applyBorder="1"/>
    <xf numFmtId="0" fontId="17" fillId="14" borderId="63" xfId="0" applyFont="1" applyFill="1" applyBorder="1"/>
    <xf numFmtId="0" fontId="36" fillId="15" borderId="63" xfId="0" applyFont="1" applyFill="1" applyBorder="1"/>
    <xf numFmtId="9" fontId="0" fillId="14" borderId="63" xfId="2" applyFont="1" applyFill="1" applyBorder="1"/>
    <xf numFmtId="2" fontId="35" fillId="10" borderId="63" xfId="0" applyNumberFormat="1" applyFont="1" applyFill="1" applyBorder="1"/>
    <xf numFmtId="43" fontId="35" fillId="10" borderId="63" xfId="1" applyFont="1" applyFill="1" applyBorder="1"/>
    <xf numFmtId="2" fontId="0" fillId="14" borderId="63" xfId="0" applyNumberFormat="1" applyFill="1" applyBorder="1"/>
    <xf numFmtId="43" fontId="0" fillId="14" borderId="63" xfId="1" applyFont="1" applyFill="1" applyBorder="1"/>
    <xf numFmtId="43" fontId="35" fillId="14" borderId="63" xfId="1" applyFont="1" applyFill="1" applyBorder="1"/>
    <xf numFmtId="43" fontId="0" fillId="14" borderId="63" xfId="1" applyNumberFormat="1" applyFont="1" applyFill="1" applyBorder="1"/>
    <xf numFmtId="43" fontId="35" fillId="10" borderId="63" xfId="1" applyNumberFormat="1" applyFont="1" applyFill="1" applyBorder="1"/>
    <xf numFmtId="0" fontId="37" fillId="11" borderId="61" xfId="0" applyFont="1" applyFill="1" applyBorder="1" applyAlignment="1">
      <alignment horizontal="center" vertical="center" wrapText="1"/>
    </xf>
    <xf numFmtId="0" fontId="38" fillId="15" borderId="0" xfId="0" applyFont="1" applyFill="1"/>
    <xf numFmtId="0" fontId="39" fillId="12" borderId="62" xfId="4" applyFont="1" applyFill="1" applyBorder="1" applyAlignment="1">
      <alignment horizontal="left" vertical="center"/>
    </xf>
    <xf numFmtId="43" fontId="39" fillId="12" borderId="62" xfId="1" applyFont="1" applyFill="1" applyBorder="1" applyAlignment="1">
      <alignment horizontal="left" vertical="center"/>
    </xf>
    <xf numFmtId="43" fontId="39" fillId="12" borderId="0" xfId="1" applyFont="1" applyFill="1" applyBorder="1" applyAlignment="1">
      <alignment horizontal="left" vertical="center"/>
    </xf>
    <xf numFmtId="0" fontId="0" fillId="13" borderId="61" xfId="3" applyFont="1" applyFill="1" applyBorder="1" applyAlignment="1">
      <alignment horizontal="left" indent="1"/>
    </xf>
    <xf numFmtId="43" fontId="0" fillId="13" borderId="61" xfId="1" applyFont="1" applyFill="1" applyBorder="1" applyAlignment="1">
      <alignment horizontal="left" indent="1"/>
    </xf>
    <xf numFmtId="43" fontId="0" fillId="13" borderId="0" xfId="1" applyFont="1" applyFill="1" applyBorder="1" applyAlignment="1">
      <alignment horizontal="left" indent="1"/>
    </xf>
    <xf numFmtId="0" fontId="40" fillId="12" borderId="62" xfId="4" applyFont="1" applyFill="1" applyBorder="1" applyAlignment="1">
      <alignment horizontal="left" vertical="center" indent="1"/>
    </xf>
    <xf numFmtId="43" fontId="40" fillId="12" borderId="62" xfId="1" applyFont="1" applyFill="1" applyBorder="1" applyAlignment="1">
      <alignment horizontal="left" vertical="center" indent="1"/>
    </xf>
    <xf numFmtId="43" fontId="40" fillId="12" borderId="0" xfId="1" applyFont="1" applyFill="1" applyBorder="1" applyAlignment="1">
      <alignment horizontal="left" vertical="center" indent="1"/>
    </xf>
    <xf numFmtId="0" fontId="39" fillId="14" borderId="62" xfId="4" applyFont="1" applyFill="1" applyBorder="1" applyAlignment="1">
      <alignment horizontal="left" vertical="center"/>
    </xf>
    <xf numFmtId="43" fontId="39" fillId="14" borderId="62" xfId="1" applyFont="1" applyFill="1" applyBorder="1" applyAlignment="1">
      <alignment horizontal="left" vertical="center"/>
    </xf>
    <xf numFmtId="43" fontId="39" fillId="14" borderId="0" xfId="1" applyFont="1" applyFill="1" applyBorder="1" applyAlignment="1">
      <alignment horizontal="left" vertical="center"/>
    </xf>
    <xf numFmtId="0" fontId="40" fillId="14" borderId="62" xfId="4" applyFont="1" applyFill="1" applyBorder="1" applyAlignment="1">
      <alignment horizontal="left" vertical="center"/>
    </xf>
    <xf numFmtId="43" fontId="40" fillId="14" borderId="62" xfId="1" applyFont="1" applyFill="1" applyBorder="1" applyAlignment="1">
      <alignment horizontal="left" vertical="center"/>
    </xf>
    <xf numFmtId="43" fontId="40" fillId="14" borderId="0" xfId="1" applyFont="1" applyFill="1" applyBorder="1" applyAlignment="1">
      <alignment horizontal="left" vertical="center"/>
    </xf>
    <xf numFmtId="43" fontId="39" fillId="10" borderId="62" xfId="1" applyFont="1" applyFill="1" applyBorder="1" applyAlignment="1">
      <alignment horizontal="left" vertical="center"/>
    </xf>
    <xf numFmtId="43" fontId="39" fillId="10" borderId="0" xfId="1" applyFont="1" applyFill="1" applyBorder="1" applyAlignment="1">
      <alignment horizontal="left" vertical="center"/>
    </xf>
    <xf numFmtId="43" fontId="40" fillId="10" borderId="62" xfId="1" applyFont="1" applyFill="1" applyBorder="1" applyAlignment="1">
      <alignment horizontal="left" vertical="center"/>
    </xf>
    <xf numFmtId="43" fontId="40" fillId="10" borderId="0" xfId="1" applyFont="1" applyFill="1" applyBorder="1" applyAlignment="1">
      <alignment horizontal="left" vertical="center"/>
    </xf>
    <xf numFmtId="43" fontId="0" fillId="14" borderId="61" xfId="1" applyFont="1" applyFill="1" applyBorder="1" applyAlignment="1">
      <alignment horizontal="left" indent="1"/>
    </xf>
    <xf numFmtId="43" fontId="0" fillId="14" borderId="0" xfId="1" applyFont="1" applyFill="1" applyBorder="1" applyAlignment="1">
      <alignment horizontal="left" indent="1"/>
    </xf>
    <xf numFmtId="43" fontId="40" fillId="14" borderId="62" xfId="1" applyFont="1" applyFill="1" applyBorder="1" applyAlignment="1">
      <alignment horizontal="left" vertical="center" indent="1"/>
    </xf>
    <xf numFmtId="43" fontId="40" fillId="14" borderId="0" xfId="1" applyFont="1" applyFill="1" applyBorder="1" applyAlignment="1">
      <alignment horizontal="left" vertical="center" indent="1"/>
    </xf>
    <xf numFmtId="0" fontId="35" fillId="13" borderId="61" xfId="3" applyFont="1" applyFill="1" applyBorder="1" applyAlignment="1">
      <alignment horizontal="left" indent="1"/>
    </xf>
    <xf numFmtId="43" fontId="40" fillId="12" borderId="62" xfId="1" applyFont="1" applyFill="1" applyBorder="1" applyAlignment="1">
      <alignment horizontal="left" vertical="center"/>
    </xf>
    <xf numFmtId="43" fontId="40" fillId="12" borderId="0" xfId="1" applyFont="1" applyFill="1" applyBorder="1" applyAlignment="1">
      <alignment horizontal="left" vertical="center"/>
    </xf>
    <xf numFmtId="0" fontId="0" fillId="14" borderId="61" xfId="3" applyFont="1" applyFill="1" applyBorder="1" applyAlignment="1">
      <alignment horizontal="left" indent="1"/>
    </xf>
    <xf numFmtId="0" fontId="40" fillId="14" borderId="62" xfId="4" applyFont="1" applyFill="1" applyBorder="1" applyAlignment="1">
      <alignment horizontal="left" vertical="center" indent="1"/>
    </xf>
    <xf numFmtId="0" fontId="0" fillId="0" borderId="0" xfId="0" applyFont="1"/>
    <xf numFmtId="0" fontId="41" fillId="11" borderId="63" xfId="0" applyFont="1" applyFill="1" applyBorder="1" applyAlignment="1">
      <alignment horizontal="center" vertical="center" wrapText="1"/>
    </xf>
    <xf numFmtId="16" fontId="10" fillId="4" borderId="6" xfId="0" applyNumberFormat="1" applyFont="1" applyFill="1" applyBorder="1" applyAlignment="1">
      <alignment horizontal="center" vertical="center" wrapText="1"/>
    </xf>
    <xf numFmtId="16" fontId="10" fillId="4" borderId="7" xfId="0" applyNumberFormat="1" applyFont="1" applyFill="1" applyBorder="1" applyAlignment="1">
      <alignment horizontal="center" vertical="center" wrapText="1"/>
    </xf>
    <xf numFmtId="0" fontId="6" fillId="3" borderId="0" xfId="0" applyFont="1" applyFill="1" applyAlignment="1">
      <alignment horizontal="left" wrapText="1"/>
    </xf>
    <xf numFmtId="0" fontId="0" fillId="3" borderId="0" xfId="0" applyFill="1" applyAlignment="1">
      <alignment horizontal="left" wrapText="1"/>
    </xf>
    <xf numFmtId="16" fontId="10" fillId="4" borderId="2" xfId="0" applyNumberFormat="1" applyFont="1" applyFill="1" applyBorder="1" applyAlignment="1">
      <alignment horizontal="center" vertical="center"/>
    </xf>
    <xf numFmtId="16" fontId="10" fillId="4" borderId="3" xfId="0" applyNumberFormat="1" applyFont="1" applyFill="1" applyBorder="1" applyAlignment="1">
      <alignment horizontal="center" vertical="center"/>
    </xf>
    <xf numFmtId="16" fontId="10" fillId="4" borderId="4" xfId="0" applyNumberFormat="1" applyFont="1" applyFill="1" applyBorder="1" applyAlignment="1">
      <alignment horizontal="center" vertical="center"/>
    </xf>
    <xf numFmtId="16" fontId="11" fillId="4" borderId="5" xfId="0" applyNumberFormat="1" applyFont="1" applyFill="1" applyBorder="1" applyAlignment="1">
      <alignment horizontal="center" vertical="center" wrapText="1"/>
    </xf>
    <xf numFmtId="16" fontId="11" fillId="4" borderId="12" xfId="0" applyNumberFormat="1" applyFont="1" applyFill="1" applyBorder="1" applyAlignment="1">
      <alignment horizontal="center" vertical="center" wrapText="1"/>
    </xf>
    <xf numFmtId="164" fontId="3" fillId="0" borderId="33" xfId="0" applyNumberFormat="1" applyFont="1" applyBorder="1" applyAlignment="1">
      <alignment horizontal="center" vertical="center" wrapText="1"/>
    </xf>
    <xf numFmtId="164" fontId="3" fillId="0" borderId="36" xfId="0" applyNumberFormat="1" applyFont="1" applyBorder="1" applyAlignment="1">
      <alignment horizontal="center" vertical="center" wrapText="1"/>
    </xf>
    <xf numFmtId="164" fontId="3" fillId="0" borderId="30" xfId="0" quotePrefix="1" applyNumberFormat="1" applyFont="1" applyBorder="1" applyAlignment="1">
      <alignment horizontal="center" vertical="center" wrapText="1"/>
    </xf>
    <xf numFmtId="164" fontId="3" fillId="0" borderId="32" xfId="0" quotePrefix="1" applyNumberFormat="1" applyFont="1" applyBorder="1" applyAlignment="1">
      <alignment horizontal="center" vertical="center" wrapText="1"/>
    </xf>
    <xf numFmtId="164" fontId="3" fillId="0" borderId="30" xfId="0" applyNumberFormat="1" applyFont="1" applyBorder="1" applyAlignment="1">
      <alignment horizontal="center" vertical="center" wrapText="1"/>
    </xf>
    <xf numFmtId="164" fontId="3" fillId="0" borderId="32"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164" fontId="3" fillId="0" borderId="15" xfId="0" quotePrefix="1"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164" fontId="3" fillId="0" borderId="14" xfId="0" applyNumberFormat="1" applyFont="1" applyBorder="1" applyAlignment="1">
      <alignment horizontal="center" vertical="center" wrapText="1"/>
    </xf>
    <xf numFmtId="0" fontId="36" fillId="15" borderId="63" xfId="0" applyFont="1" applyFill="1" applyBorder="1" applyAlignment="1">
      <alignment horizontal="center"/>
    </xf>
  </cellXfs>
  <cellStyles count="7">
    <cellStyle name="20% - Accent3" xfId="3" builtinId="38"/>
    <cellStyle name="Comma" xfId="1" builtinId="3"/>
    <cellStyle name="Comma 2" xfId="6"/>
    <cellStyle name="Normal" xfId="0" builtinId="0"/>
    <cellStyle name="Normal 2" xfId="4"/>
    <cellStyle name="Normal 2 2" xfId="5"/>
    <cellStyle name="Percent" xfId="2" builtinId="5"/>
  </cellStyles>
  <dxfs count="0"/>
  <tableStyles count="0" defaultTableStyle="TableStyleMedium2" defaultPivotStyle="PivotStyleLight16"/>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defaultRowHeight="15.75" x14ac:dyDescent="0.25"/>
  <cols>
    <col min="1" max="1" width="120.85546875" style="249" customWidth="1"/>
  </cols>
  <sheetData>
    <row r="1" spans="1:1" ht="21" x14ac:dyDescent="0.25">
      <c r="A1" s="250" t="s">
        <v>276</v>
      </c>
    </row>
    <row r="2" spans="1:1" ht="47.25" x14ac:dyDescent="0.25">
      <c r="A2" s="249" t="s">
        <v>277</v>
      </c>
    </row>
    <row r="3" spans="1:1" ht="21" x14ac:dyDescent="0.25">
      <c r="A3" s="250" t="s">
        <v>278</v>
      </c>
    </row>
    <row r="4" spans="1:1" x14ac:dyDescent="0.25">
      <c r="A4" s="249" t="s">
        <v>279</v>
      </c>
    </row>
    <row r="5" spans="1:1" ht="18.75" x14ac:dyDescent="0.25">
      <c r="A5" s="251" t="s">
        <v>280</v>
      </c>
    </row>
    <row r="6" spans="1:1" ht="63" x14ac:dyDescent="0.25">
      <c r="A6" s="249" t="s">
        <v>281</v>
      </c>
    </row>
    <row r="7" spans="1:1" ht="18.75" x14ac:dyDescent="0.25">
      <c r="A7" s="251" t="s">
        <v>282</v>
      </c>
    </row>
    <row r="8" spans="1:1" ht="31.5" x14ac:dyDescent="0.25">
      <c r="A8" s="249" t="s">
        <v>283</v>
      </c>
    </row>
    <row r="9" spans="1:1" ht="63" x14ac:dyDescent="0.25">
      <c r="A9" s="252" t="s">
        <v>310</v>
      </c>
    </row>
    <row r="10" spans="1:1" ht="63" x14ac:dyDescent="0.25">
      <c r="A10" s="252" t="s">
        <v>311</v>
      </c>
    </row>
    <row r="11" spans="1:1" ht="18.75" x14ac:dyDescent="0.25">
      <c r="A11" s="251" t="s">
        <v>284</v>
      </c>
    </row>
    <row r="12" spans="1:1" ht="31.5" x14ac:dyDescent="0.25">
      <c r="A12" s="249" t="s">
        <v>285</v>
      </c>
    </row>
    <row r="13" spans="1:1" ht="18.75" x14ac:dyDescent="0.25">
      <c r="A13" s="251" t="s">
        <v>286</v>
      </c>
    </row>
    <row r="14" spans="1:1" ht="47.25" x14ac:dyDescent="0.25">
      <c r="A14" s="249" t="s">
        <v>287</v>
      </c>
    </row>
    <row r="15" spans="1:1" ht="21" x14ac:dyDescent="0.25">
      <c r="A15" s="250" t="s">
        <v>288</v>
      </c>
    </row>
    <row r="16" spans="1:1" x14ac:dyDescent="0.25">
      <c r="A16" s="249" t="s">
        <v>289</v>
      </c>
    </row>
    <row r="17" spans="1:1" ht="18.75" x14ac:dyDescent="0.25">
      <c r="A17" s="251" t="s">
        <v>290</v>
      </c>
    </row>
    <row r="18" spans="1:1" ht="126" x14ac:dyDescent="0.25">
      <c r="A18" s="252" t="s">
        <v>291</v>
      </c>
    </row>
    <row r="19" spans="1:1" ht="18.75" x14ac:dyDescent="0.25">
      <c r="A19" s="251" t="s">
        <v>292</v>
      </c>
    </row>
    <row r="20" spans="1:1" x14ac:dyDescent="0.25">
      <c r="A20" s="249" t="s">
        <v>293</v>
      </c>
    </row>
    <row r="21" spans="1:1" ht="18.75" x14ac:dyDescent="0.25">
      <c r="A21" s="251" t="s">
        <v>294</v>
      </c>
    </row>
    <row r="22" spans="1:1" ht="31.5" x14ac:dyDescent="0.25">
      <c r="A22" s="249" t="s">
        <v>295</v>
      </c>
    </row>
    <row r="23" spans="1:1" ht="18.75" x14ac:dyDescent="0.25">
      <c r="A23" s="251" t="s">
        <v>296</v>
      </c>
    </row>
    <row r="24" spans="1:1" x14ac:dyDescent="0.25">
      <c r="A24" s="249" t="s">
        <v>297</v>
      </c>
    </row>
    <row r="25" spans="1:1" ht="18.75" x14ac:dyDescent="0.25">
      <c r="A25" s="251" t="s">
        <v>298</v>
      </c>
    </row>
    <row r="26" spans="1:1" ht="31.5" x14ac:dyDescent="0.25">
      <c r="A26" s="249" t="s">
        <v>299</v>
      </c>
    </row>
    <row r="27" spans="1:1" ht="18.75" x14ac:dyDescent="0.25">
      <c r="A27" s="251" t="s">
        <v>296</v>
      </c>
    </row>
    <row r="28" spans="1:1" ht="31.5" x14ac:dyDescent="0.25">
      <c r="A28" s="249" t="s">
        <v>300</v>
      </c>
    </row>
    <row r="29" spans="1:1" ht="18.75" x14ac:dyDescent="0.25">
      <c r="A29" s="251" t="s">
        <v>302</v>
      </c>
    </row>
    <row r="30" spans="1:1" x14ac:dyDescent="0.25">
      <c r="A30" s="249" t="s">
        <v>301</v>
      </c>
    </row>
    <row r="31" spans="1:1" ht="18.75" x14ac:dyDescent="0.25">
      <c r="A31" s="251" t="s">
        <v>303</v>
      </c>
    </row>
    <row r="32" spans="1:1" x14ac:dyDescent="0.25">
      <c r="A32" s="249" t="s">
        <v>304</v>
      </c>
    </row>
    <row r="33" spans="1:1" ht="21" x14ac:dyDescent="0.25">
      <c r="A33" s="250" t="s">
        <v>305</v>
      </c>
    </row>
    <row r="34" spans="1:1" ht="31.5" x14ac:dyDescent="0.25">
      <c r="A34" s="249" t="s">
        <v>306</v>
      </c>
    </row>
    <row r="35" spans="1:1" ht="63" x14ac:dyDescent="0.25">
      <c r="A35" s="252" t="s">
        <v>307</v>
      </c>
    </row>
    <row r="36" spans="1:1" ht="21" x14ac:dyDescent="0.25">
      <c r="A36" s="250" t="s">
        <v>308</v>
      </c>
    </row>
    <row r="37" spans="1:1" ht="63" x14ac:dyDescent="0.25">
      <c r="A37" s="249" t="s">
        <v>309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B96"/>
  <sheetViews>
    <sheetView zoomScale="80" zoomScaleNormal="80" workbookViewId="0"/>
  </sheetViews>
  <sheetFormatPr defaultRowHeight="15" outlineLevelRow="2" outlineLevelCol="1" x14ac:dyDescent="0.25"/>
  <cols>
    <col min="1" max="1" width="46.42578125" customWidth="1"/>
    <col min="2" max="2" width="13.28515625" style="121" customWidth="1" outlineLevel="1"/>
    <col min="3" max="3" width="10.28515625" style="121" customWidth="1" outlineLevel="1"/>
    <col min="4" max="4" width="10.85546875" style="121" customWidth="1" outlineLevel="1"/>
    <col min="5" max="5" width="11" style="121" customWidth="1" outlineLevel="1"/>
    <col min="6" max="6" width="15.42578125" style="121" customWidth="1"/>
    <col min="7" max="7" width="14.85546875" style="121" customWidth="1"/>
    <col min="8" max="8" width="11.140625" style="122" customWidth="1"/>
    <col min="9" max="11" width="12.28515625" customWidth="1"/>
    <col min="12" max="12" width="11.42578125" customWidth="1"/>
    <col min="13" max="13" width="11.42578125" style="123" customWidth="1"/>
    <col min="14" max="14" width="11.85546875" customWidth="1"/>
    <col min="17" max="17" width="12.42578125" customWidth="1"/>
  </cols>
  <sheetData>
    <row r="1" spans="1:17" s="126" customFormat="1" x14ac:dyDescent="0.25">
      <c r="A1" s="1" t="str">
        <f>"Updated on " &amp; TEXT(Updates!B2,"[$-0809]dd mmm yyyy")</f>
        <v>Updated on 11 Nov 2022</v>
      </c>
      <c r="B1" s="130"/>
      <c r="C1" s="130"/>
      <c r="D1" s="130"/>
      <c r="E1" s="130"/>
      <c r="F1" s="130"/>
      <c r="G1" s="130"/>
      <c r="H1" s="131"/>
      <c r="I1" s="132"/>
      <c r="J1" s="132"/>
      <c r="K1" s="132"/>
      <c r="L1" s="35"/>
      <c r="M1" s="133"/>
    </row>
    <row r="2" spans="1:17" ht="45" x14ac:dyDescent="0.25">
      <c r="A2" s="8" t="s">
        <v>80</v>
      </c>
      <c r="B2" s="9"/>
      <c r="C2" s="9"/>
      <c r="D2" s="9"/>
      <c r="E2" s="9"/>
      <c r="F2" s="9"/>
      <c r="G2" s="9"/>
      <c r="H2" s="9"/>
      <c r="I2" s="9"/>
      <c r="J2" s="9"/>
      <c r="K2" s="9"/>
      <c r="L2" s="5"/>
      <c r="M2" s="6"/>
    </row>
    <row r="3" spans="1:17" ht="44.25" customHeight="1" x14ac:dyDescent="0.25">
      <c r="A3" s="10" t="s">
        <v>105</v>
      </c>
      <c r="B3" s="305" t="s">
        <v>2</v>
      </c>
      <c r="C3" s="306"/>
      <c r="D3" s="306"/>
      <c r="E3" s="306"/>
      <c r="F3" s="306"/>
      <c r="G3" s="307"/>
      <c r="H3" s="308" t="s">
        <v>3</v>
      </c>
      <c r="I3" s="301" t="s">
        <v>4</v>
      </c>
      <c r="J3" s="302"/>
      <c r="K3" s="11"/>
      <c r="L3" s="12"/>
      <c r="M3" s="6"/>
    </row>
    <row r="4" spans="1:17" ht="50.25" customHeight="1" x14ac:dyDescent="0.25">
      <c r="A4" s="14" t="s">
        <v>6</v>
      </c>
      <c r="B4" s="15" t="s">
        <v>7</v>
      </c>
      <c r="C4" s="15" t="s">
        <v>8</v>
      </c>
      <c r="D4" s="16" t="s">
        <v>9</v>
      </c>
      <c r="E4" s="16" t="s">
        <v>10</v>
      </c>
      <c r="F4" s="16" t="s">
        <v>11</v>
      </c>
      <c r="G4" s="16" t="s">
        <v>12</v>
      </c>
      <c r="H4" s="309"/>
      <c r="I4" s="17" t="s">
        <v>13</v>
      </c>
      <c r="J4" s="17" t="s">
        <v>14</v>
      </c>
      <c r="K4" s="16" t="s">
        <v>15</v>
      </c>
      <c r="L4" s="15" t="s">
        <v>16</v>
      </c>
      <c r="M4" s="6"/>
    </row>
    <row r="5" spans="1:17" ht="10.5" customHeight="1" x14ac:dyDescent="0.25">
      <c r="A5" s="20"/>
      <c r="B5" s="21"/>
      <c r="C5" s="21"/>
      <c r="D5" s="21"/>
      <c r="E5" s="21"/>
      <c r="F5" s="22"/>
      <c r="G5" s="22"/>
      <c r="H5" s="23"/>
      <c r="I5" s="24"/>
      <c r="J5" s="25"/>
      <c r="K5" s="26"/>
      <c r="L5" s="26"/>
      <c r="M5" s="6"/>
    </row>
    <row r="6" spans="1:17" ht="36" customHeight="1" x14ac:dyDescent="0.25">
      <c r="A6" s="27" t="s">
        <v>18</v>
      </c>
      <c r="B6" s="28"/>
      <c r="C6" s="28"/>
      <c r="D6" s="28"/>
      <c r="E6" s="28"/>
      <c r="F6" s="29">
        <f>F9+F21+F27</f>
        <v>164.07361057312008</v>
      </c>
      <c r="G6" s="29">
        <f>G9+G21+G27</f>
        <v>151.67535154624795</v>
      </c>
      <c r="H6" s="30"/>
      <c r="I6" s="30">
        <f>I9+I21+I27</f>
        <v>16.512536539415493</v>
      </c>
      <c r="J6" s="30">
        <f>J9+J21+J27</f>
        <v>15.357812715910033</v>
      </c>
      <c r="K6" s="31">
        <f>J6/I6</f>
        <v>0.93006987020139942</v>
      </c>
      <c r="L6" s="31">
        <f>+I6/$I$89</f>
        <v>0.22197562063339171</v>
      </c>
      <c r="M6" s="6"/>
    </row>
    <row r="7" spans="1:17" ht="8.25" customHeight="1" x14ac:dyDescent="0.25">
      <c r="A7" s="20"/>
      <c r="B7" s="21"/>
      <c r="C7" s="21"/>
      <c r="D7" s="21"/>
      <c r="E7" s="21"/>
      <c r="F7" s="22"/>
      <c r="G7" s="22"/>
      <c r="H7" s="23"/>
      <c r="I7" s="24"/>
      <c r="J7" s="25"/>
      <c r="K7" s="26"/>
      <c r="L7" s="26"/>
      <c r="M7" s="6"/>
    </row>
    <row r="8" spans="1:17" ht="8.25" hidden="1" customHeight="1" x14ac:dyDescent="0.25">
      <c r="A8" s="38"/>
      <c r="B8" s="39"/>
      <c r="C8" s="39"/>
      <c r="D8" s="39"/>
      <c r="E8" s="39"/>
      <c r="F8" s="40"/>
      <c r="G8" s="40"/>
      <c r="H8" s="41"/>
      <c r="I8" s="42"/>
      <c r="J8" s="43"/>
      <c r="K8" s="44"/>
      <c r="L8" s="45"/>
      <c r="M8" s="6"/>
    </row>
    <row r="9" spans="1:17" ht="22.5" customHeight="1" outlineLevel="1" x14ac:dyDescent="0.25">
      <c r="A9" s="48" t="s">
        <v>83</v>
      </c>
      <c r="B9" s="49">
        <f>SUM(B11:B19)</f>
        <v>303.44732970899997</v>
      </c>
      <c r="C9" s="49">
        <f t="shared" ref="C9:J9" si="0">SUM(C11:C19)</f>
        <v>17.065691524999998</v>
      </c>
      <c r="D9" s="49">
        <f t="shared" si="0"/>
        <v>52.53742367800001</v>
      </c>
      <c r="E9" s="49">
        <f t="shared" si="0"/>
        <v>267.97559755600008</v>
      </c>
      <c r="F9" s="49">
        <f t="shared" si="0"/>
        <v>160.48089631412591</v>
      </c>
      <c r="G9" s="49">
        <f t="shared" si="0"/>
        <v>148.34019184943693</v>
      </c>
      <c r="H9" s="50"/>
      <c r="I9" s="50">
        <f t="shared" si="0"/>
        <v>15.53669270155385</v>
      </c>
      <c r="J9" s="50">
        <f t="shared" si="0"/>
        <v>14.452836415772794</v>
      </c>
      <c r="K9" s="51">
        <f>J9/I9</f>
        <v>0.93023893137355684</v>
      </c>
      <c r="L9" s="51">
        <f>+I9/$I$89</f>
        <v>0.20885749423085195</v>
      </c>
      <c r="M9" s="6"/>
      <c r="N9" s="52"/>
      <c r="O9" s="52"/>
      <c r="P9" s="52"/>
      <c r="Q9" s="52"/>
    </row>
    <row r="10" spans="1:17" ht="15" customHeight="1" outlineLevel="1" x14ac:dyDescent="0.25">
      <c r="A10" s="20"/>
      <c r="B10" s="21"/>
      <c r="C10" s="21"/>
      <c r="D10" s="21"/>
      <c r="E10" s="21"/>
      <c r="F10" s="22"/>
      <c r="G10" s="22"/>
      <c r="H10" s="23"/>
      <c r="I10" s="24"/>
      <c r="J10" s="25"/>
      <c r="K10" s="26"/>
      <c r="L10" s="26"/>
      <c r="M10" s="6"/>
      <c r="N10" s="52"/>
      <c r="O10" s="52"/>
      <c r="P10" s="52"/>
      <c r="Q10" s="52"/>
    </row>
    <row r="11" spans="1:17" ht="15" customHeight="1" outlineLevel="1" x14ac:dyDescent="0.25">
      <c r="A11" s="55" t="str">
        <f>+'data from cereal masterfile'!A3</f>
        <v>Common  wheat</v>
      </c>
      <c r="B11" s="56">
        <f>+'data from cereal masterfile'!E3</f>
        <v>132.00458990400003</v>
      </c>
      <c r="C11" s="56">
        <f>+'data from cereal masterfile'!E15</f>
        <v>3.5671031710000003</v>
      </c>
      <c r="D11" s="56">
        <f>+'data from cereal masterfile'!E27</f>
        <v>33.755240817000001</v>
      </c>
      <c r="E11" s="56">
        <f>+B11+C11-D11</f>
        <v>101.81645225800004</v>
      </c>
      <c r="F11" s="56">
        <f>+'data from cereal masterfile'!E39</f>
        <v>44.966189846917445</v>
      </c>
      <c r="G11" s="56">
        <f>IF(B11&gt;E11,F11,F11*B11/E11)-C11</f>
        <v>41.399086675917445</v>
      </c>
      <c r="H11" s="57">
        <v>0.11</v>
      </c>
      <c r="I11" s="58">
        <f>F11*H11</f>
        <v>4.9462808831609193</v>
      </c>
      <c r="J11" s="58">
        <f>G11*H11</f>
        <v>4.5538995343509194</v>
      </c>
      <c r="K11" s="26"/>
      <c r="L11" s="26"/>
      <c r="M11" s="6">
        <f>+IF(H11&lt;15%,1,IF(H11&lt;30%,2,IF(H11&lt;50%,3,4)))</f>
        <v>1</v>
      </c>
      <c r="N11" s="73"/>
      <c r="O11" s="72"/>
      <c r="P11" s="52"/>
      <c r="Q11" s="52"/>
    </row>
    <row r="12" spans="1:17" ht="15" customHeight="1" outlineLevel="1" x14ac:dyDescent="0.25">
      <c r="A12" s="55" t="str">
        <f>+'data from cereal masterfile'!A4</f>
        <v>Barley</v>
      </c>
      <c r="B12" s="56">
        <f>+'data from cereal masterfile'!E4</f>
        <v>53.313421005000002</v>
      </c>
      <c r="C12" s="56">
        <f>+'data from cereal masterfile'!E16</f>
        <v>0.79938539399999997</v>
      </c>
      <c r="D12" s="56">
        <f>+'data from cereal masterfile'!E28</f>
        <v>12.049769119</v>
      </c>
      <c r="E12" s="56">
        <f t="shared" ref="E12:E19" si="1">+B12+C12-D12</f>
        <v>42.063037280000003</v>
      </c>
      <c r="F12" s="56">
        <f>+'data from cereal masterfile'!E40</f>
        <v>32.582589299999995</v>
      </c>
      <c r="G12" s="56">
        <f>IF(B12&gt;E12,F12,F12*B12/E12)</f>
        <v>32.582589299999995</v>
      </c>
      <c r="H12" s="57">
        <v>0.1</v>
      </c>
      <c r="I12" s="58">
        <f t="shared" ref="I12:I19" si="2">F12*H12</f>
        <v>3.2582589299999998</v>
      </c>
      <c r="J12" s="58">
        <f t="shared" ref="J12:J19" si="3">G12*H12</f>
        <v>3.2582589299999998</v>
      </c>
      <c r="K12" s="26"/>
      <c r="L12" s="26"/>
      <c r="M12" s="6">
        <f t="shared" ref="M12:M19" si="4">+IF(H12&lt;15%,1,IF(H12&lt;30%,2,IF(H12&lt;50%,3,4)))</f>
        <v>1</v>
      </c>
      <c r="N12" s="73"/>
      <c r="O12" s="72"/>
      <c r="P12" s="52"/>
      <c r="Q12" s="52"/>
    </row>
    <row r="13" spans="1:17" ht="15" customHeight="1" outlineLevel="1" x14ac:dyDescent="0.25">
      <c r="A13" s="55" t="str">
        <f>+'data from cereal masterfile'!A5</f>
        <v>Durum</v>
      </c>
      <c r="B13" s="56">
        <f>+'data from cereal masterfile'!E5</f>
        <v>7.5976799999999987</v>
      </c>
      <c r="C13" s="56">
        <f>+'data from cereal masterfile'!E17</f>
        <v>2.9256440269999997</v>
      </c>
      <c r="D13" s="56">
        <f>+'data from cereal masterfile'!E29</f>
        <v>1.306531036</v>
      </c>
      <c r="E13" s="56">
        <f t="shared" si="1"/>
        <v>9.2167929909999984</v>
      </c>
      <c r="F13" s="56">
        <f>+'data from cereal masterfile'!E41</f>
        <v>0.08</v>
      </c>
      <c r="G13" s="56">
        <f>IF(B13&gt;E13,F13,F13*B13/E13)</f>
        <v>6.5946408972569703E-2</v>
      </c>
      <c r="H13" s="57">
        <v>0.12</v>
      </c>
      <c r="I13" s="58">
        <f t="shared" si="2"/>
        <v>9.5999999999999992E-3</v>
      </c>
      <c r="J13" s="58">
        <f t="shared" si="3"/>
        <v>7.9135690767083641E-3</v>
      </c>
      <c r="K13" s="26"/>
      <c r="L13" s="26"/>
      <c r="M13" s="6">
        <f t="shared" si="4"/>
        <v>1</v>
      </c>
      <c r="N13" s="73"/>
      <c r="O13" s="72"/>
      <c r="P13" s="52"/>
      <c r="Q13" s="52"/>
    </row>
    <row r="14" spans="1:17" ht="15" customHeight="1" outlineLevel="1" x14ac:dyDescent="0.25">
      <c r="A14" s="55" t="str">
        <f>+'data from cereal masterfile'!A6</f>
        <v>Maize</v>
      </c>
      <c r="B14" s="56">
        <f>+'data from cereal masterfile'!E6</f>
        <v>77.409508800000012</v>
      </c>
      <c r="C14" s="56">
        <f>+'data from cereal masterfile'!E18</f>
        <v>9.3245089350000008</v>
      </c>
      <c r="D14" s="56">
        <f>+'data from cereal masterfile'!E30</f>
        <v>4.944115526</v>
      </c>
      <c r="E14" s="56">
        <f t="shared" si="1"/>
        <v>81.789902209000005</v>
      </c>
      <c r="F14" s="56">
        <f>+'data from cereal masterfile'!E42</f>
        <v>59.706000000000003</v>
      </c>
      <c r="G14" s="56">
        <f>F14-C14*0.9</f>
        <v>51.313941958500003</v>
      </c>
      <c r="H14" s="57">
        <v>0.08</v>
      </c>
      <c r="I14" s="58">
        <f t="shared" si="2"/>
        <v>4.7764800000000003</v>
      </c>
      <c r="J14" s="58">
        <f t="shared" si="3"/>
        <v>4.1051153566800007</v>
      </c>
      <c r="K14" s="26"/>
      <c r="L14" s="26"/>
      <c r="M14" s="6">
        <f t="shared" si="4"/>
        <v>1</v>
      </c>
      <c r="N14" s="73"/>
      <c r="O14" s="72"/>
      <c r="P14" s="52"/>
      <c r="Q14" s="52"/>
    </row>
    <row r="15" spans="1:17" ht="15" customHeight="1" outlineLevel="1" x14ac:dyDescent="0.25">
      <c r="A15" s="55" t="str">
        <f>+'data from cereal masterfile'!A7</f>
        <v>Rye</v>
      </c>
      <c r="B15" s="56">
        <f>+'data from cereal masterfile'!E7</f>
        <v>8.7936833628979318</v>
      </c>
      <c r="C15" s="56">
        <f>+'data from cereal masterfile'!E19</f>
        <v>0.102720963</v>
      </c>
      <c r="D15" s="56">
        <f>+'data from cereal masterfile'!E31</f>
        <v>0.19966216000000001</v>
      </c>
      <c r="E15" s="56">
        <f t="shared" si="1"/>
        <v>8.6967421658979305</v>
      </c>
      <c r="F15" s="56">
        <f>+'data from cereal masterfile'!E43</f>
        <v>3.4978763912032464</v>
      </c>
      <c r="G15" s="56">
        <f>IF(B15&gt;E15,F15,F15*B15/(B15+C15-D15))</f>
        <v>3.4978763912032464</v>
      </c>
      <c r="H15" s="57">
        <v>0.11</v>
      </c>
      <c r="I15" s="58">
        <f t="shared" si="2"/>
        <v>0.3847664030323571</v>
      </c>
      <c r="J15" s="58">
        <f t="shared" si="3"/>
        <v>0.3847664030323571</v>
      </c>
      <c r="K15" s="26"/>
      <c r="L15" s="26"/>
      <c r="M15" s="6">
        <f t="shared" si="4"/>
        <v>1</v>
      </c>
      <c r="N15" s="73"/>
      <c r="O15" s="72"/>
      <c r="P15" s="52"/>
      <c r="Q15" s="52"/>
    </row>
    <row r="16" spans="1:17" ht="15" customHeight="1" outlineLevel="1" x14ac:dyDescent="0.25">
      <c r="A16" s="55" t="str">
        <f>+'data from cereal masterfile'!A8</f>
        <v>Sorghum</v>
      </c>
      <c r="B16" s="56">
        <f>+'data from cereal masterfile'!E8</f>
        <v>0.83195999999999992</v>
      </c>
      <c r="C16" s="56">
        <f>+'data from cereal masterfile'!E20</f>
        <v>0.13135449100000002</v>
      </c>
      <c r="D16" s="56">
        <f>+'data from cereal masterfile'!E32</f>
        <v>2.8349711E-2</v>
      </c>
      <c r="E16" s="56">
        <f t="shared" si="1"/>
        <v>0.93496478000000005</v>
      </c>
      <c r="F16" s="56">
        <f>+'data from cereal masterfile'!E44</f>
        <v>0.57843979118169875</v>
      </c>
      <c r="G16" s="56">
        <f>IF(B16&gt;E16,F16,F16*B16/(B16+C16-D16))</f>
        <v>0.51471325868716256</v>
      </c>
      <c r="H16" s="57">
        <v>0.11</v>
      </c>
      <c r="I16" s="58">
        <f t="shared" si="2"/>
        <v>6.362837702998686E-2</v>
      </c>
      <c r="J16" s="58">
        <f t="shared" si="3"/>
        <v>5.6618458455587883E-2</v>
      </c>
      <c r="K16" s="26"/>
      <c r="L16" s="26"/>
      <c r="M16" s="6">
        <f t="shared" si="4"/>
        <v>1</v>
      </c>
      <c r="N16" s="73"/>
      <c r="O16" s="72"/>
      <c r="P16" s="52"/>
      <c r="Q16" s="52"/>
    </row>
    <row r="17" spans="1:17" ht="15" customHeight="1" outlineLevel="1" x14ac:dyDescent="0.25">
      <c r="A17" s="55" t="str">
        <f>+'data from cereal masterfile'!A9</f>
        <v>Oats</v>
      </c>
      <c r="B17" s="56">
        <f>+'data from cereal masterfile'!E9</f>
        <v>6.8465199999999991</v>
      </c>
      <c r="C17" s="56">
        <f>+'data from cereal masterfile'!E21</f>
        <v>7.5842829E-2</v>
      </c>
      <c r="D17" s="56">
        <f>+'data from cereal masterfile'!E33</f>
        <v>0.23449893799999999</v>
      </c>
      <c r="E17" s="56">
        <f t="shared" si="1"/>
        <v>6.6878638909999992</v>
      </c>
      <c r="F17" s="56">
        <f>+'data from cereal masterfile'!E45</f>
        <v>4.4668217912901333</v>
      </c>
      <c r="G17" s="56">
        <f>IF(B17&gt;E17,F17,F17*B17/(B17+C17-D17))</f>
        <v>4.4668217912901333</v>
      </c>
      <c r="H17" s="57">
        <v>0.11</v>
      </c>
      <c r="I17" s="58">
        <f t="shared" si="2"/>
        <v>0.49135039704191469</v>
      </c>
      <c r="J17" s="58">
        <f t="shared" si="3"/>
        <v>0.49135039704191469</v>
      </c>
      <c r="K17" s="26"/>
      <c r="L17" s="26"/>
      <c r="M17" s="6">
        <f t="shared" si="4"/>
        <v>1</v>
      </c>
      <c r="N17" s="73"/>
      <c r="O17" s="72"/>
      <c r="P17" s="52"/>
      <c r="Q17" s="52"/>
    </row>
    <row r="18" spans="1:17" ht="15" customHeight="1" outlineLevel="1" x14ac:dyDescent="0.25">
      <c r="A18" s="55" t="str">
        <f>+'data from cereal masterfile'!A10</f>
        <v>Triticale</v>
      </c>
      <c r="B18" s="56">
        <f>+'data from cereal masterfile'!E10</f>
        <v>12.926209999999998</v>
      </c>
      <c r="C18" s="56">
        <f>+'data from cereal masterfile'!E22</f>
        <v>2.8970900000000003E-4</v>
      </c>
      <c r="D18" s="56">
        <f>+'data from cereal masterfile'!E34</f>
        <v>1.189383E-3</v>
      </c>
      <c r="E18" s="56">
        <f t="shared" si="1"/>
        <v>12.925310325999998</v>
      </c>
      <c r="F18" s="56">
        <f>+'data from cereal masterfile'!E46</f>
        <v>11.299972997396001</v>
      </c>
      <c r="G18" s="56">
        <f>IF(B18&gt;E18,F18,F18*B18/(B18+C18-D18))</f>
        <v>11.299972997396001</v>
      </c>
      <c r="H18" s="57">
        <v>0.11</v>
      </c>
      <c r="I18" s="58">
        <f t="shared" si="2"/>
        <v>1.2429970297135602</v>
      </c>
      <c r="J18" s="58">
        <f t="shared" si="3"/>
        <v>1.2429970297135602</v>
      </c>
      <c r="K18" s="26"/>
      <c r="L18" s="26"/>
      <c r="M18" s="6">
        <f t="shared" si="4"/>
        <v>1</v>
      </c>
      <c r="N18" s="73"/>
      <c r="O18" s="72"/>
      <c r="P18" s="52"/>
      <c r="Q18" s="52"/>
    </row>
    <row r="19" spans="1:17" ht="15" customHeight="1" outlineLevel="1" x14ac:dyDescent="0.25">
      <c r="A19" s="55" t="str">
        <f>+'data from cereal masterfile'!A11</f>
        <v>Others</v>
      </c>
      <c r="B19" s="56">
        <f>+'data from cereal masterfile'!E11</f>
        <v>3.7237566371020683</v>
      </c>
      <c r="C19" s="56">
        <f>+'data from cereal masterfile'!E23</f>
        <v>0.13884200599999999</v>
      </c>
      <c r="D19" s="56">
        <f>+'data from cereal masterfile'!E35</f>
        <v>1.8066988000000003E-2</v>
      </c>
      <c r="E19" s="56">
        <f t="shared" si="1"/>
        <v>3.8445316551020681</v>
      </c>
      <c r="F19" s="56">
        <f>+'data from cereal masterfile'!E47</f>
        <v>3.3030061961373898</v>
      </c>
      <c r="G19" s="56">
        <f>IF(B19&gt;E19,F19,F19*B19/(B19+C19-D19))</f>
        <v>3.1992430674704173</v>
      </c>
      <c r="H19" s="57">
        <v>0.11</v>
      </c>
      <c r="I19" s="58">
        <f t="shared" si="2"/>
        <v>0.36333068157511289</v>
      </c>
      <c r="J19" s="58">
        <f t="shared" si="3"/>
        <v>0.3519167374217459</v>
      </c>
      <c r="K19" s="26"/>
      <c r="L19" s="26"/>
      <c r="M19" s="6">
        <f t="shared" si="4"/>
        <v>1</v>
      </c>
      <c r="N19" s="73"/>
      <c r="O19" s="72"/>
      <c r="P19" s="52"/>
      <c r="Q19" s="52"/>
    </row>
    <row r="20" spans="1:17" ht="12.75" customHeight="1" outlineLevel="1" x14ac:dyDescent="0.25">
      <c r="A20" s="20"/>
      <c r="B20" s="21"/>
      <c r="C20" s="21"/>
      <c r="D20" s="21"/>
      <c r="E20" s="21"/>
      <c r="F20" s="22"/>
      <c r="G20" s="22"/>
      <c r="H20" s="23"/>
      <c r="I20" s="24"/>
      <c r="J20" s="25"/>
      <c r="K20" s="26"/>
      <c r="L20" s="26"/>
      <c r="M20" s="6"/>
      <c r="N20" s="52"/>
      <c r="O20" s="52"/>
      <c r="P20" s="52"/>
      <c r="Q20" s="52"/>
    </row>
    <row r="21" spans="1:17" ht="22.5" customHeight="1" outlineLevel="1" x14ac:dyDescent="0.25">
      <c r="A21" s="48" t="s">
        <v>84</v>
      </c>
      <c r="B21" s="49">
        <f t="shared" ref="B21:G21" si="5">SUM(B23:B25)</f>
        <v>32.962119999999999</v>
      </c>
      <c r="C21" s="49">
        <f t="shared" si="5"/>
        <v>15.269139976</v>
      </c>
      <c r="D21" s="49">
        <f t="shared" si="5"/>
        <v>1.3567917630000004</v>
      </c>
      <c r="E21" s="49">
        <f t="shared" si="5"/>
        <v>46.874468213</v>
      </c>
      <c r="F21" s="49">
        <f t="shared" si="5"/>
        <v>1.6041995</v>
      </c>
      <c r="G21" s="49">
        <f t="shared" si="5"/>
        <v>1.6041995</v>
      </c>
      <c r="H21" s="50"/>
      <c r="I21" s="50">
        <f>SUM(I23:I25)</f>
        <v>0.46457187932999999</v>
      </c>
      <c r="J21" s="50">
        <f>SUM(J23:J25)</f>
        <v>0.46457187932999999</v>
      </c>
      <c r="K21" s="51">
        <f>J21/I21</f>
        <v>1</v>
      </c>
      <c r="L21" s="51">
        <f>+I21/$I$89</f>
        <v>6.2451720241127936E-3</v>
      </c>
      <c r="M21" s="6"/>
      <c r="N21" s="52"/>
      <c r="O21" s="52"/>
      <c r="P21" s="52"/>
      <c r="Q21" s="52"/>
    </row>
    <row r="22" spans="1:17" ht="15" customHeight="1" outlineLevel="1" x14ac:dyDescent="0.25">
      <c r="A22" s="20" t="s">
        <v>85</v>
      </c>
      <c r="B22" s="21"/>
      <c r="C22" s="21"/>
      <c r="D22" s="21"/>
      <c r="E22" s="21"/>
      <c r="F22" s="22"/>
      <c r="G22" s="22"/>
      <c r="H22" s="23"/>
      <c r="I22" s="24"/>
      <c r="J22" s="25"/>
      <c r="K22" s="26"/>
      <c r="L22" s="26"/>
      <c r="M22" s="6"/>
      <c r="N22" s="52"/>
      <c r="O22" s="52"/>
      <c r="P22" s="52"/>
      <c r="Q22" s="52"/>
    </row>
    <row r="23" spans="1:17" ht="15" customHeight="1" outlineLevel="1" x14ac:dyDescent="0.25">
      <c r="A23" s="55" t="s">
        <v>22</v>
      </c>
      <c r="B23" s="56">
        <f>+'data from oilseed masterfile'!S4</f>
        <v>1.84148</v>
      </c>
      <c r="C23" s="56">
        <f>+'data from oilseed masterfile'!S12</f>
        <v>12.403726085000001</v>
      </c>
      <c r="D23" s="56">
        <f>+'data from oilseed masterfile'!S16</f>
        <v>0.13694518</v>
      </c>
      <c r="E23" s="56">
        <f>+B23+C23-D23</f>
        <v>14.108260905000002</v>
      </c>
      <c r="F23" s="56">
        <v>1.2</v>
      </c>
      <c r="G23" s="56">
        <f>F23</f>
        <v>1.2</v>
      </c>
      <c r="H23" s="61">
        <v>0.33</v>
      </c>
      <c r="I23" s="58">
        <f>F23*H23</f>
        <v>0.39600000000000002</v>
      </c>
      <c r="J23" s="58">
        <f>G23*H23</f>
        <v>0.39600000000000002</v>
      </c>
      <c r="K23" s="26"/>
      <c r="L23" s="26"/>
      <c r="M23" s="6">
        <f>+IF(H23&lt;15%,1,IF(H23&lt;30%,2,IF(H23&lt;50%,3,4)))</f>
        <v>3</v>
      </c>
      <c r="N23" s="52"/>
      <c r="O23" s="52"/>
      <c r="P23" s="52"/>
      <c r="Q23" s="52"/>
    </row>
    <row r="24" spans="1:17" ht="15" customHeight="1" outlineLevel="1" x14ac:dyDescent="0.25">
      <c r="A24" s="55" t="s">
        <v>23</v>
      </c>
      <c r="B24" s="56">
        <f>+'data from oilseed masterfile'!S5</f>
        <v>21.82133</v>
      </c>
      <c r="C24" s="56">
        <f>+'data from oilseed masterfile'!S13</f>
        <v>2.6108814170000003</v>
      </c>
      <c r="D24" s="56">
        <f>+'data from oilseed masterfile'!S17</f>
        <v>0.5970725600000002</v>
      </c>
      <c r="E24" s="56">
        <f>+B24+C24-D24</f>
        <v>23.835138857</v>
      </c>
      <c r="F24" s="56">
        <f>+B24*1%</f>
        <v>0.2182133</v>
      </c>
      <c r="G24" s="56">
        <f>F24</f>
        <v>0.2182133</v>
      </c>
      <c r="H24" s="62">
        <f>H47*0.57</f>
        <v>0.18809999999999999</v>
      </c>
      <c r="I24" s="58">
        <f>F24*H24</f>
        <v>4.1045921729999997E-2</v>
      </c>
      <c r="J24" s="58">
        <f>G24*H24</f>
        <v>4.1045921729999997E-2</v>
      </c>
      <c r="K24" s="26"/>
      <c r="L24" s="26"/>
      <c r="M24" s="6">
        <f>+IF(H24&lt;15%,1,IF(H24&lt;30%,2,IF(H24&lt;50%,3,4)))</f>
        <v>2</v>
      </c>
      <c r="N24" s="52"/>
      <c r="O24" s="52"/>
      <c r="P24" s="52"/>
      <c r="Q24" s="52"/>
    </row>
    <row r="25" spans="1:17" ht="15" customHeight="1" outlineLevel="1" x14ac:dyDescent="0.25">
      <c r="A25" s="55" t="s">
        <v>24</v>
      </c>
      <c r="B25" s="56">
        <f>+'data from oilseed masterfile'!S6</f>
        <v>9.299310000000002</v>
      </c>
      <c r="C25" s="56">
        <f>+'data from oilseed masterfile'!S14</f>
        <v>0.25453247400000001</v>
      </c>
      <c r="D25" s="56">
        <f>+'data from oilseed masterfile'!S18</f>
        <v>0.62277402300000007</v>
      </c>
      <c r="E25" s="56">
        <f>+B25+C25-D25</f>
        <v>8.9310684510000016</v>
      </c>
      <c r="F25" s="56">
        <f>+B25*2%</f>
        <v>0.18598620000000005</v>
      </c>
      <c r="G25" s="56">
        <f>F25</f>
        <v>0.18598620000000005</v>
      </c>
      <c r="H25" s="57">
        <v>0.14799999999999999</v>
      </c>
      <c r="I25" s="58">
        <f>F25*H25</f>
        <v>2.7525957600000005E-2</v>
      </c>
      <c r="J25" s="58">
        <f>G25*H25</f>
        <v>2.7525957600000005E-2</v>
      </c>
      <c r="K25" s="26"/>
      <c r="L25" s="26"/>
      <c r="M25" s="6">
        <f>+IF(H25&lt;15%,1,IF(H25&lt;30%,2,IF(H25&lt;50%,3,4)))</f>
        <v>1</v>
      </c>
      <c r="N25" s="52"/>
      <c r="O25" s="52"/>
      <c r="P25" s="52"/>
      <c r="Q25" s="52"/>
    </row>
    <row r="26" spans="1:17" ht="12.75" customHeight="1" outlineLevel="1" x14ac:dyDescent="0.25">
      <c r="A26" s="20"/>
      <c r="B26" s="21"/>
      <c r="C26" s="21"/>
      <c r="D26" s="21"/>
      <c r="E26" s="21"/>
      <c r="F26" s="22"/>
      <c r="G26" s="22"/>
      <c r="H26" s="23"/>
      <c r="I26" s="24"/>
      <c r="J26" s="25"/>
      <c r="K26" s="26"/>
      <c r="L26" s="26"/>
      <c r="M26" s="6"/>
      <c r="N26" s="52"/>
      <c r="O26" s="52"/>
      <c r="P26" s="52"/>
      <c r="Q26" s="52"/>
    </row>
    <row r="27" spans="1:17" ht="20.25" customHeight="1" outlineLevel="1" x14ac:dyDescent="0.25">
      <c r="A27" s="48" t="s">
        <v>86</v>
      </c>
      <c r="B27" s="49">
        <f t="shared" ref="B27:G27" si="6">SUM(B29:B32)</f>
        <v>2.8426903304999995</v>
      </c>
      <c r="C27" s="49">
        <f t="shared" si="6"/>
        <v>0.61444244700000006</v>
      </c>
      <c r="D27" s="49">
        <f t="shared" si="6"/>
        <v>0.25930561899999993</v>
      </c>
      <c r="E27" s="49">
        <f t="shared" si="6"/>
        <v>3.1978271585</v>
      </c>
      <c r="F27" s="49">
        <f t="shared" si="6"/>
        <v>1.9885147589941754</v>
      </c>
      <c r="G27" s="49">
        <f t="shared" si="6"/>
        <v>1.7309601968110124</v>
      </c>
      <c r="H27" s="50"/>
      <c r="I27" s="50">
        <f>SUM(I29:I32)</f>
        <v>0.51127195853164387</v>
      </c>
      <c r="J27" s="50">
        <f>SUM(J29:J32)</f>
        <v>0.44040442080723846</v>
      </c>
      <c r="K27" s="51">
        <f>J27/I27</f>
        <v>0.86138974269597213</v>
      </c>
      <c r="L27" s="51">
        <f>+I27/$I$89</f>
        <v>6.87295437842699E-3</v>
      </c>
      <c r="M27" s="6"/>
      <c r="N27" s="52"/>
      <c r="O27" s="52"/>
      <c r="P27" s="52"/>
      <c r="Q27" s="52"/>
    </row>
    <row r="28" spans="1:17" ht="15.75" customHeight="1" outlineLevel="1" x14ac:dyDescent="0.25">
      <c r="A28" s="20"/>
      <c r="B28" s="21"/>
      <c r="C28" s="21"/>
      <c r="D28" s="21"/>
      <c r="E28" s="21"/>
      <c r="F28" s="22"/>
      <c r="G28" s="22"/>
      <c r="H28" s="23"/>
      <c r="I28" s="24"/>
      <c r="J28" s="25"/>
      <c r="K28" s="26"/>
      <c r="L28" s="26"/>
      <c r="M28" s="6"/>
      <c r="N28" s="52"/>
      <c r="O28" s="52"/>
      <c r="P28" s="52"/>
      <c r="Q28" s="52"/>
    </row>
    <row r="29" spans="1:17" ht="15" customHeight="1" outlineLevel="1" x14ac:dyDescent="0.25">
      <c r="A29" s="55" t="s">
        <v>87</v>
      </c>
      <c r="B29" s="56">
        <f>'data from protein balance sheet'!E4</f>
        <v>1.2667699999999997</v>
      </c>
      <c r="C29" s="56">
        <f>'data from protein balance sheet'!E20</f>
        <v>0.15706675299999998</v>
      </c>
      <c r="D29" s="56">
        <f>'data from protein balance sheet'!E28</f>
        <v>0.10362365599999998</v>
      </c>
      <c r="E29" s="56">
        <f>'data from protein balance sheet'!E12</f>
        <v>1.3202130969999999</v>
      </c>
      <c r="F29" s="56">
        <f>'data from protein balance sheet'!E36</f>
        <v>0.76887184661999997</v>
      </c>
      <c r="G29" s="56">
        <f>IF(B29&gt;E29,F29,F29*B29/E29)</f>
        <v>0.73774740710879128</v>
      </c>
      <c r="H29" s="63">
        <v>0.22500000000000001</v>
      </c>
      <c r="I29" s="58">
        <f>F29*H29</f>
        <v>0.1729961654895</v>
      </c>
      <c r="J29" s="58">
        <f>G29*H29</f>
        <v>0.16599316659947805</v>
      </c>
      <c r="K29" s="26"/>
      <c r="L29" s="26"/>
      <c r="M29" s="6">
        <f>+IF(H29&lt;15%,1,IF(H29&lt;30%,2,IF(H29&lt;50%,3,4)))</f>
        <v>2</v>
      </c>
      <c r="N29" s="52"/>
      <c r="O29" s="52"/>
      <c r="P29" s="52"/>
      <c r="Q29" s="52"/>
    </row>
    <row r="30" spans="1:17" ht="15" customHeight="1" outlineLevel="1" x14ac:dyDescent="0.25">
      <c r="A30" s="55" t="s">
        <v>27</v>
      </c>
      <c r="B30" s="56">
        <f>'data from protein balance sheet'!E5</f>
        <v>0.79602000000000006</v>
      </c>
      <c r="C30" s="56">
        <f>'data from protein balance sheet'!E21</f>
        <v>1.5176505999999999E-2</v>
      </c>
      <c r="D30" s="56">
        <f>'data from protein balance sheet'!E29</f>
        <v>0.13740068699999997</v>
      </c>
      <c r="E30" s="56">
        <f>'data from protein balance sheet'!E13</f>
        <v>0.67379581900000018</v>
      </c>
      <c r="F30" s="56">
        <f>'data from protein balance sheet'!E37</f>
        <v>0.53538969396000002</v>
      </c>
      <c r="G30" s="56">
        <f>IF(B30&gt;E30,F30,F30*B30/E30)</f>
        <v>0.53538969396000002</v>
      </c>
      <c r="H30" s="63">
        <v>0.26</v>
      </c>
      <c r="I30" s="58">
        <f>F30*H30</f>
        <v>0.13920132042960001</v>
      </c>
      <c r="J30" s="58">
        <f>G30*H30</f>
        <v>0.13920132042960001</v>
      </c>
      <c r="K30" s="26"/>
      <c r="L30" s="26"/>
      <c r="M30" s="6">
        <f>+IF(H30&lt;15%,1,IF(H30&lt;30%,2,IF(H30&lt;50%,3,4)))</f>
        <v>2</v>
      </c>
      <c r="N30" s="52"/>
      <c r="O30" s="52"/>
      <c r="P30" s="52"/>
      <c r="Q30" s="52"/>
    </row>
    <row r="31" spans="1:17" ht="15" customHeight="1" outlineLevel="1" x14ac:dyDescent="0.25">
      <c r="A31" s="55" t="s">
        <v>28</v>
      </c>
      <c r="B31" s="56">
        <f>'data from protein balance sheet'!E7</f>
        <v>0.20946000000000001</v>
      </c>
      <c r="C31" s="56">
        <f>'data from protein balance sheet'!E23</f>
        <v>7.3481091000000026E-2</v>
      </c>
      <c r="D31" s="56">
        <f>'data from protein balance sheet'!E31</f>
        <v>2.4021099999999999E-4</v>
      </c>
      <c r="E31" s="56">
        <f>'data from protein balance sheet'!E15</f>
        <v>0.28270088000000004</v>
      </c>
      <c r="F31" s="56">
        <f>'data from protein balance sheet'!E39</f>
        <v>0.28011168009000004</v>
      </c>
      <c r="G31" s="56">
        <f>IF(B31&gt;E31,F31,F31*B31/E31)</f>
        <v>0.20754159842605158</v>
      </c>
      <c r="H31" s="61">
        <v>0.35</v>
      </c>
      <c r="I31" s="58">
        <f>F31*H31</f>
        <v>9.8039088031500007E-2</v>
      </c>
      <c r="J31" s="58">
        <f>G31*H31</f>
        <v>7.2639559449118041E-2</v>
      </c>
      <c r="K31" s="26"/>
      <c r="L31" s="26"/>
      <c r="M31" s="6">
        <f>+IF(H31&lt;15%,1,IF(H31&lt;30%,2,IF(H31&lt;50%,3,4)))</f>
        <v>3</v>
      </c>
      <c r="N31" s="52"/>
      <c r="O31" s="52"/>
      <c r="P31" s="52"/>
      <c r="Q31" s="52"/>
    </row>
    <row r="32" spans="1:17" ht="15" customHeight="1" outlineLevel="1" x14ac:dyDescent="0.25">
      <c r="A32" s="55" t="s">
        <v>29</v>
      </c>
      <c r="B32" s="56">
        <f>'data from protein balance sheet'!E9</f>
        <v>0.57044033049999987</v>
      </c>
      <c r="C32" s="56">
        <f>'data from protein balance sheet'!E25</f>
        <v>0.36871809700000002</v>
      </c>
      <c r="D32" s="56">
        <f>'data from protein balance sheet'!E33</f>
        <v>1.8041064999999998E-2</v>
      </c>
      <c r="E32" s="56">
        <f>'data from protein balance sheet'!E17</f>
        <v>0.92111736249999976</v>
      </c>
      <c r="F32" s="56">
        <f>'data from protein balance sheet'!E41</f>
        <v>0.40414153832417526</v>
      </c>
      <c r="G32" s="56">
        <f>IF(B32&gt;E32,F32,F32*B32/E32)</f>
        <v>0.25028149731616961</v>
      </c>
      <c r="H32" s="63">
        <v>0.25</v>
      </c>
      <c r="I32" s="58">
        <f>F32*H32</f>
        <v>0.10103538458104382</v>
      </c>
      <c r="J32" s="58">
        <f>G32*H32</f>
        <v>6.2570374329042402E-2</v>
      </c>
      <c r="K32" s="26"/>
      <c r="L32" s="26"/>
      <c r="M32" s="6">
        <f>+IF(H32&lt;15%,1,IF(H32&lt;30%,2,IF(H32&lt;50%,3,4)))</f>
        <v>2</v>
      </c>
      <c r="N32" s="52"/>
      <c r="O32" s="52"/>
      <c r="P32" s="52"/>
      <c r="Q32" s="52"/>
    </row>
    <row r="33" spans="1:17" ht="12.75" customHeight="1" x14ac:dyDescent="0.25">
      <c r="A33" s="20"/>
      <c r="B33" s="21"/>
      <c r="C33" s="21"/>
      <c r="D33" s="21"/>
      <c r="E33" s="21"/>
      <c r="F33" s="22"/>
      <c r="G33" s="22"/>
      <c r="H33" s="23"/>
      <c r="I33" s="24"/>
      <c r="J33" s="25"/>
      <c r="K33" s="26"/>
      <c r="L33" s="26"/>
      <c r="M33" s="6"/>
      <c r="N33" s="52"/>
      <c r="O33" s="52"/>
      <c r="P33" s="52"/>
      <c r="Q33" s="52"/>
    </row>
    <row r="34" spans="1:17" ht="36" customHeight="1" x14ac:dyDescent="0.25">
      <c r="A34" s="27" t="s">
        <v>30</v>
      </c>
      <c r="B34" s="28"/>
      <c r="C34" s="28"/>
      <c r="D34" s="28"/>
      <c r="E34" s="28"/>
      <c r="F34" s="29">
        <f>+F36+F63</f>
        <v>80.032192635548654</v>
      </c>
      <c r="G34" s="29">
        <f>+G36+G63</f>
        <v>46.057944972175726</v>
      </c>
      <c r="H34" s="30"/>
      <c r="I34" s="30">
        <f>+I36+I63</f>
        <v>23.768552518218748</v>
      </c>
      <c r="J34" s="30">
        <f>+J36+J63</f>
        <v>9.8953484723729446</v>
      </c>
      <c r="K34" s="31">
        <f>IF(I34=0,0,J34/I34)</f>
        <v>0.41632103868286036</v>
      </c>
      <c r="L34" s="31">
        <f>+I34/$I$89</f>
        <v>0.31951718527284073</v>
      </c>
      <c r="M34" s="6"/>
      <c r="N34" s="52"/>
      <c r="O34" s="52"/>
      <c r="P34" s="52"/>
      <c r="Q34" s="52"/>
    </row>
    <row r="35" spans="1:17" ht="12.75" customHeight="1" x14ac:dyDescent="0.25">
      <c r="A35" s="20"/>
      <c r="B35" s="21"/>
      <c r="C35" s="21"/>
      <c r="D35" s="21"/>
      <c r="E35" s="21"/>
      <c r="F35" s="22"/>
      <c r="G35" s="22"/>
      <c r="H35" s="23"/>
      <c r="I35" s="24"/>
      <c r="J35" s="25"/>
      <c r="K35" s="26"/>
      <c r="L35" s="26"/>
      <c r="M35" s="6"/>
      <c r="N35" s="52"/>
      <c r="O35" s="52"/>
      <c r="P35" s="52"/>
      <c r="Q35" s="52"/>
    </row>
    <row r="36" spans="1:17" ht="18.75" customHeight="1" outlineLevel="1" x14ac:dyDescent="0.25">
      <c r="A36" s="48" t="s">
        <v>31</v>
      </c>
      <c r="B36" s="49">
        <f t="shared" ref="B36:E36" si="7">+B38+B45+B51+B57</f>
        <v>27.198248986041115</v>
      </c>
      <c r="C36" s="49">
        <f t="shared" si="7"/>
        <v>22.834992883000002</v>
      </c>
      <c r="D36" s="49">
        <f t="shared" si="7"/>
        <v>2.1472552870000001</v>
      </c>
      <c r="E36" s="49">
        <f t="shared" si="7"/>
        <v>47.885986582041106</v>
      </c>
      <c r="F36" s="49">
        <f>+F38+F45+F51+F57</f>
        <v>47.730082592713167</v>
      </c>
      <c r="G36" s="49">
        <f>+G38+G45+G51+G57</f>
        <v>15.449770339340228</v>
      </c>
      <c r="H36" s="50"/>
      <c r="I36" s="50">
        <f>+I38+I45+I51+I57</f>
        <v>18.907610258589248</v>
      </c>
      <c r="J36" s="50">
        <f>+J38+J45+J51+J57</f>
        <v>5.2659423889734445</v>
      </c>
      <c r="K36" s="51">
        <f>IF(I36=0,0,J36/I36)</f>
        <v>0.27850914615617595</v>
      </c>
      <c r="L36" s="51">
        <f>+I36/$I$89</f>
        <v>0.25417224736044086</v>
      </c>
      <c r="M36" s="6"/>
      <c r="N36" s="52"/>
      <c r="O36" s="52"/>
      <c r="P36" s="52"/>
      <c r="Q36" s="52"/>
    </row>
    <row r="37" spans="1:17" ht="7.5" customHeight="1" outlineLevel="1" x14ac:dyDescent="0.25">
      <c r="A37" s="20"/>
      <c r="B37" s="21"/>
      <c r="C37" s="21"/>
      <c r="D37" s="21"/>
      <c r="E37" s="21"/>
      <c r="F37" s="22"/>
      <c r="G37" s="22"/>
      <c r="H37" s="23"/>
      <c r="I37" s="24"/>
      <c r="J37" s="25"/>
      <c r="K37" s="26"/>
      <c r="L37" s="26"/>
      <c r="M37" s="6"/>
      <c r="N37" s="52"/>
      <c r="O37" s="52"/>
      <c r="P37" s="52"/>
      <c r="Q37" s="52"/>
    </row>
    <row r="38" spans="1:17" ht="15" customHeight="1" outlineLevel="2" x14ac:dyDescent="0.25">
      <c r="A38" s="48" t="s">
        <v>88</v>
      </c>
      <c r="B38" s="49">
        <f t="shared" ref="B38:E38" si="8">B40+B41+B42+B43</f>
        <v>9.1495511703971637</v>
      </c>
      <c r="C38" s="49">
        <f t="shared" si="8"/>
        <v>17.555409575999999</v>
      </c>
      <c r="D38" s="49">
        <f t="shared" si="8"/>
        <v>1.0543517039999999</v>
      </c>
      <c r="E38" s="49">
        <f t="shared" si="8"/>
        <v>25.650609042397161</v>
      </c>
      <c r="F38" s="49">
        <f>F40+F41+F42+F43</f>
        <v>25.494705053069218</v>
      </c>
      <c r="G38" s="49">
        <f>G40+G41+G42+G43</f>
        <v>0.39061085764400016</v>
      </c>
      <c r="H38" s="50"/>
      <c r="I38" s="50">
        <f>SUM(I40:I43)</f>
        <v>11.641325527705394</v>
      </c>
      <c r="J38" s="50">
        <f>SUM(J40:J43)</f>
        <v>0.16796266878692007</v>
      </c>
      <c r="K38" s="51">
        <f>IF(I38=0,0,J38/I38)</f>
        <v>1.4428139509300962E-2</v>
      </c>
      <c r="L38" s="51">
        <f>+I38/$I$89</f>
        <v>0.15649264138429106</v>
      </c>
      <c r="M38" s="6"/>
      <c r="N38" s="73"/>
      <c r="O38" s="73"/>
      <c r="P38" s="52"/>
      <c r="Q38" s="52"/>
    </row>
    <row r="39" spans="1:17" ht="15" customHeight="1" outlineLevel="2" x14ac:dyDescent="0.25">
      <c r="A39" s="20"/>
      <c r="B39" s="21"/>
      <c r="C39" s="21"/>
      <c r="D39" s="21"/>
      <c r="E39" s="21"/>
      <c r="F39" s="22"/>
      <c r="G39" s="22"/>
      <c r="H39" s="23"/>
      <c r="I39" s="24"/>
      <c r="J39" s="25"/>
      <c r="K39" s="26"/>
      <c r="L39" s="26"/>
      <c r="M39" s="6"/>
      <c r="N39" s="73"/>
      <c r="O39" s="73"/>
      <c r="P39" s="52"/>
      <c r="Q39" s="52"/>
    </row>
    <row r="40" spans="1:17" ht="15" customHeight="1" outlineLevel="2" x14ac:dyDescent="0.25">
      <c r="A40" s="55" t="s">
        <v>33</v>
      </c>
      <c r="B40" s="56">
        <f>(MIN((B23-D23)*'data from oilseed masterfile'!S40,B23-D23-G23)*0.79)</f>
        <v>0.39858250780000015</v>
      </c>
      <c r="C40" s="56"/>
      <c r="D40" s="56"/>
      <c r="E40" s="56">
        <f>B40-D40</f>
        <v>0.39858250780000015</v>
      </c>
      <c r="F40" s="56">
        <f>(B40-D40)*0.98</f>
        <v>0.39061085764400016</v>
      </c>
      <c r="G40" s="56">
        <f>F40</f>
        <v>0.39061085764400016</v>
      </c>
      <c r="H40" s="61">
        <v>0.43</v>
      </c>
      <c r="I40" s="58">
        <f>F40*H40</f>
        <v>0.16796266878692007</v>
      </c>
      <c r="J40" s="58">
        <f>G40*H40</f>
        <v>0.16796266878692007</v>
      </c>
      <c r="K40" s="26"/>
      <c r="L40" s="26"/>
      <c r="M40" s="6">
        <f>+IF(H40&lt;15%,1,IF(H40&lt;30%,2,IF(H40&lt;50%,3,4)))</f>
        <v>3</v>
      </c>
      <c r="N40" s="73"/>
      <c r="O40" s="73"/>
      <c r="P40" s="52"/>
      <c r="Q40" s="52"/>
    </row>
    <row r="41" spans="1:17" ht="15" customHeight="1" outlineLevel="2" x14ac:dyDescent="0.25">
      <c r="A41" s="55" t="s">
        <v>34</v>
      </c>
      <c r="B41" s="56">
        <f>(MIN(C23*'data from oilseed masterfile'!S40,C23-(F23-G23))*0.79-B43)</f>
        <v>8.4509686625971625</v>
      </c>
      <c r="C41" s="56"/>
      <c r="D41" s="56">
        <f>+'data from oilseed masterfile'!S35</f>
        <v>1.0543517039999999</v>
      </c>
      <c r="E41" s="56">
        <f>B41-D41</f>
        <v>7.3966169585971624</v>
      </c>
      <c r="F41" s="56">
        <f>(B41-D41)*0.98</f>
        <v>7.2486846194252186</v>
      </c>
      <c r="G41" s="56">
        <v>0</v>
      </c>
      <c r="H41" s="61">
        <v>0.45500000000000002</v>
      </c>
      <c r="I41" s="58">
        <f>F41*H41</f>
        <v>3.2981515018384746</v>
      </c>
      <c r="J41" s="58">
        <f>G41*H41</f>
        <v>0</v>
      </c>
      <c r="K41" s="26"/>
      <c r="L41" s="26"/>
      <c r="M41" s="6">
        <f>+IF(H41&lt;15%,1,IF(H41&lt;30%,2,IF(H41&lt;50%,3,4)))</f>
        <v>3</v>
      </c>
      <c r="N41" s="73"/>
      <c r="O41" s="73"/>
      <c r="P41" s="52"/>
      <c r="Q41" s="52"/>
    </row>
    <row r="42" spans="1:17" ht="15" customHeight="1" outlineLevel="2" x14ac:dyDescent="0.25">
      <c r="A42" s="55" t="s">
        <v>35</v>
      </c>
      <c r="B42" s="56"/>
      <c r="C42" s="56">
        <f>+'data from oilseed masterfile'!S31</f>
        <v>17.555409575999999</v>
      </c>
      <c r="D42" s="56"/>
      <c r="E42" s="56">
        <f>C42</f>
        <v>17.555409575999999</v>
      </c>
      <c r="F42" s="56">
        <f>(C42-D42)</f>
        <v>17.555409575999999</v>
      </c>
      <c r="G42" s="56">
        <v>0</v>
      </c>
      <c r="H42" s="61">
        <v>0.45500000000000002</v>
      </c>
      <c r="I42" s="58">
        <f>F42*H42</f>
        <v>7.9877113570799994</v>
      </c>
      <c r="J42" s="58">
        <f>G42*H42</f>
        <v>0</v>
      </c>
      <c r="K42" s="26"/>
      <c r="L42" s="26"/>
      <c r="M42" s="6">
        <f>+IF(H42&lt;15%,1,IF(H42&lt;30%,2,IF(H42&lt;50%,3,4)))</f>
        <v>3</v>
      </c>
      <c r="N42" s="73"/>
      <c r="O42" s="73"/>
      <c r="P42" s="52"/>
      <c r="Q42" s="52"/>
    </row>
    <row r="43" spans="1:17" ht="15" customHeight="1" outlineLevel="2" x14ac:dyDescent="0.25">
      <c r="A43" s="55" t="s">
        <v>89</v>
      </c>
      <c r="B43" s="56">
        <f>F43</f>
        <v>0.3</v>
      </c>
      <c r="C43" s="56"/>
      <c r="D43" s="56"/>
      <c r="E43" s="56">
        <f>B43+C43-D43</f>
        <v>0.3</v>
      </c>
      <c r="F43" s="56">
        <v>0.3</v>
      </c>
      <c r="G43" s="56">
        <v>0</v>
      </c>
      <c r="H43" s="65">
        <v>0.625</v>
      </c>
      <c r="I43" s="58">
        <f>F43*H43</f>
        <v>0.1875</v>
      </c>
      <c r="J43" s="58">
        <f>G43*H43</f>
        <v>0</v>
      </c>
      <c r="K43" s="26">
        <f>IF(I43=0,0,J43/I43)</f>
        <v>0</v>
      </c>
      <c r="L43" s="26">
        <f>IF(J43=0,0,K43/J43)</f>
        <v>0</v>
      </c>
      <c r="M43" s="6">
        <f>+IF(H43&lt;15%,1,IF(H43&lt;30%,2,IF(H43&lt;50%,3,4)))</f>
        <v>4</v>
      </c>
      <c r="N43" s="73"/>
      <c r="O43" s="73"/>
      <c r="P43" s="52"/>
      <c r="Q43" s="52"/>
    </row>
    <row r="44" spans="1:17" ht="12.75" customHeight="1" outlineLevel="2" x14ac:dyDescent="0.25">
      <c r="A44" s="20"/>
      <c r="B44" s="21"/>
      <c r="C44" s="21"/>
      <c r="D44" s="21"/>
      <c r="E44" s="21"/>
      <c r="F44" s="22"/>
      <c r="G44" s="22"/>
      <c r="H44" s="23"/>
      <c r="I44" s="24"/>
      <c r="J44" s="25"/>
      <c r="K44" s="26"/>
      <c r="L44" s="26"/>
      <c r="M44" s="6"/>
      <c r="N44" s="73"/>
      <c r="O44" s="73"/>
      <c r="P44" s="52"/>
      <c r="Q44" s="52"/>
    </row>
    <row r="45" spans="1:17" ht="15" customHeight="1" outlineLevel="2" x14ac:dyDescent="0.25">
      <c r="A45" s="48" t="s">
        <v>90</v>
      </c>
      <c r="B45" s="49">
        <f t="shared" ref="B45:E45" si="9">B47+B48+B49</f>
        <v>13.121239854599029</v>
      </c>
      <c r="C45" s="49">
        <f t="shared" si="9"/>
        <v>0.50244963099999995</v>
      </c>
      <c r="D45" s="49">
        <f t="shared" si="9"/>
        <v>0.55773197200000002</v>
      </c>
      <c r="E45" s="49">
        <f t="shared" si="9"/>
        <v>13.065957513599029</v>
      </c>
      <c r="F45" s="49">
        <f>F47+F48+F49</f>
        <v>13.065957513599029</v>
      </c>
      <c r="G45" s="49">
        <f>G47+G48+G49</f>
        <v>11.126218110137252</v>
      </c>
      <c r="H45" s="50"/>
      <c r="I45" s="50">
        <f>SUM(I47:I49)</f>
        <v>4.3117659794876806</v>
      </c>
      <c r="J45" s="50">
        <f>SUM(J47:J49)</f>
        <v>3.6716519763452933</v>
      </c>
      <c r="K45" s="51">
        <f>IF(I45=0,0,J45/I45)</f>
        <v>0.85154249878411881</v>
      </c>
      <c r="L45" s="51">
        <f>+I45/$I$89</f>
        <v>5.7962441266252697E-2</v>
      </c>
      <c r="M45" s="6"/>
      <c r="N45" s="72"/>
      <c r="O45" s="73"/>
      <c r="P45" s="52"/>
      <c r="Q45" s="52"/>
    </row>
    <row r="46" spans="1:17" ht="15" customHeight="1" outlineLevel="2" x14ac:dyDescent="0.25">
      <c r="A46" s="20"/>
      <c r="B46" s="21"/>
      <c r="C46" s="21"/>
      <c r="D46" s="21"/>
      <c r="E46" s="21"/>
      <c r="F46" s="22"/>
      <c r="G46" s="22"/>
      <c r="H46" s="23"/>
      <c r="I46" s="24"/>
      <c r="J46" s="25"/>
      <c r="K46" s="26"/>
      <c r="L46" s="26"/>
      <c r="M46" s="6"/>
      <c r="N46" s="52"/>
      <c r="O46" s="52"/>
      <c r="P46" s="52"/>
      <c r="Q46" s="52"/>
    </row>
    <row r="47" spans="1:17" ht="15" customHeight="1" outlineLevel="2" x14ac:dyDescent="0.25">
      <c r="A47" s="55" t="s">
        <v>38</v>
      </c>
      <c r="B47" s="56">
        <f>(MIN((B24-D24)*'data from oilseed masterfile'!S41,B24-D24-G24)*0.57)</f>
        <v>11.683950082137251</v>
      </c>
      <c r="C47" s="56"/>
      <c r="D47" s="56">
        <f>+'data from oilseed masterfile'!S36</f>
        <v>0.55773197200000002</v>
      </c>
      <c r="E47" s="56">
        <f>B47-D47</f>
        <v>11.126218110137252</v>
      </c>
      <c r="F47" s="56">
        <f>(B47-D47)</f>
        <v>11.126218110137252</v>
      </c>
      <c r="G47" s="56">
        <f>F47</f>
        <v>11.126218110137252</v>
      </c>
      <c r="H47" s="61">
        <v>0.33</v>
      </c>
      <c r="I47" s="58">
        <f>F47*H47</f>
        <v>3.6716519763452933</v>
      </c>
      <c r="J47" s="58">
        <f>G47*H47</f>
        <v>3.6716519763452933</v>
      </c>
      <c r="K47" s="26"/>
      <c r="L47" s="26"/>
      <c r="M47" s="6">
        <f>+IF(H47&lt;15%,1,IF(H47&lt;30%,2,IF(H47&lt;50%,3,4)))</f>
        <v>3</v>
      </c>
      <c r="N47" s="52"/>
      <c r="O47" s="52"/>
      <c r="P47" s="52"/>
      <c r="Q47" s="52"/>
    </row>
    <row r="48" spans="1:17" ht="15" customHeight="1" outlineLevel="2" x14ac:dyDescent="0.25">
      <c r="A48" s="55" t="s">
        <v>39</v>
      </c>
      <c r="B48" s="56">
        <f>C24*'data from oilseed masterfile'!S41*0.57</f>
        <v>1.4372897724617772</v>
      </c>
      <c r="C48" s="56"/>
      <c r="D48" s="56"/>
      <c r="E48" s="56">
        <f>B48-D48</f>
        <v>1.4372897724617772</v>
      </c>
      <c r="F48" s="56">
        <f>(B48-D48)</f>
        <v>1.4372897724617772</v>
      </c>
      <c r="G48" s="56">
        <v>0</v>
      </c>
      <c r="H48" s="61">
        <v>0.33</v>
      </c>
      <c r="I48" s="58">
        <f>F48*H48</f>
        <v>0.47430562491238654</v>
      </c>
      <c r="J48" s="58">
        <f>G48*H48</f>
        <v>0</v>
      </c>
      <c r="K48" s="26"/>
      <c r="L48" s="26"/>
      <c r="M48" s="6">
        <f>+IF(H48&lt;15%,1,IF(H48&lt;30%,2,IF(H48&lt;50%,3,4)))</f>
        <v>3</v>
      </c>
      <c r="N48" s="52"/>
      <c r="O48" s="52"/>
      <c r="P48" s="52"/>
      <c r="Q48" s="52"/>
    </row>
    <row r="49" spans="1:28" ht="15" customHeight="1" outlineLevel="2" x14ac:dyDescent="0.25">
      <c r="A49" s="55" t="s">
        <v>40</v>
      </c>
      <c r="B49" s="56"/>
      <c r="C49" s="56">
        <f>+'data from oilseed masterfile'!S32</f>
        <v>0.50244963099999995</v>
      </c>
      <c r="D49" s="56"/>
      <c r="E49" s="56">
        <f>C49</f>
        <v>0.50244963099999995</v>
      </c>
      <c r="F49" s="56">
        <f>IF((C49-D49)&lt;0,0,C49-D49)</f>
        <v>0.50244963099999995</v>
      </c>
      <c r="G49" s="56">
        <v>0</v>
      </c>
      <c r="H49" s="61">
        <v>0.33</v>
      </c>
      <c r="I49" s="58">
        <f>F49*H49</f>
        <v>0.16580837823</v>
      </c>
      <c r="J49" s="58">
        <f>G49*H49</f>
        <v>0</v>
      </c>
      <c r="K49" s="26"/>
      <c r="L49" s="26"/>
      <c r="M49" s="6">
        <f>+IF(H49&lt;15%,1,IF(H49&lt;30%,2,IF(H49&lt;50%,3,4)))</f>
        <v>3</v>
      </c>
      <c r="N49" s="73"/>
      <c r="O49" s="73"/>
      <c r="P49" s="52"/>
      <c r="Q49" s="52"/>
      <c r="R49" s="52"/>
      <c r="S49" s="52"/>
      <c r="T49" s="52"/>
      <c r="U49" s="52"/>
      <c r="V49" s="52"/>
      <c r="W49" s="52"/>
      <c r="X49" s="52"/>
      <c r="Y49" s="52"/>
      <c r="Z49" s="52"/>
      <c r="AA49" s="52"/>
      <c r="AB49" s="52"/>
    </row>
    <row r="50" spans="1:28" ht="12.75" customHeight="1" outlineLevel="2" x14ac:dyDescent="0.25">
      <c r="A50" s="20"/>
      <c r="B50" s="21"/>
      <c r="C50" s="21"/>
      <c r="D50" s="21"/>
      <c r="E50" s="21"/>
      <c r="F50" s="22"/>
      <c r="G50" s="22"/>
      <c r="H50" s="23"/>
      <c r="I50" s="24"/>
      <c r="J50" s="25"/>
      <c r="K50" s="26"/>
      <c r="L50" s="26"/>
      <c r="M50" s="6"/>
      <c r="N50" s="73"/>
      <c r="O50" s="73"/>
      <c r="P50" s="52"/>
      <c r="Q50" s="52"/>
      <c r="R50" s="52"/>
      <c r="S50" s="52"/>
      <c r="T50" s="52"/>
      <c r="U50" s="52"/>
      <c r="V50" s="52"/>
      <c r="W50" s="52"/>
      <c r="X50" s="52"/>
      <c r="Y50" s="52"/>
      <c r="Z50" s="52"/>
      <c r="AA50" s="52"/>
      <c r="AB50" s="52"/>
    </row>
    <row r="51" spans="1:28" ht="15" customHeight="1" outlineLevel="2" x14ac:dyDescent="0.25">
      <c r="A51" s="48" t="s">
        <v>91</v>
      </c>
      <c r="B51" s="49">
        <f t="shared" ref="B51:E51" si="10">B53+B54+B55</f>
        <v>4.3334579610449229</v>
      </c>
      <c r="C51" s="49">
        <f t="shared" si="10"/>
        <v>2.9927662669999999</v>
      </c>
      <c r="D51" s="49">
        <f t="shared" si="10"/>
        <v>0.43734345600000002</v>
      </c>
      <c r="E51" s="49">
        <f t="shared" si="10"/>
        <v>6.8888807720449234</v>
      </c>
      <c r="F51" s="49">
        <f>F53+F54+F55</f>
        <v>6.8888807720449234</v>
      </c>
      <c r="G51" s="49">
        <f>G53+G54+G55</f>
        <v>3.7726123975589756</v>
      </c>
      <c r="H51" s="50"/>
      <c r="I51" s="50">
        <f>SUM(I53:I55)</f>
        <v>2.4799970779361722</v>
      </c>
      <c r="J51" s="50">
        <f>SUM(J53:J55)</f>
        <v>1.3581404631212313</v>
      </c>
      <c r="K51" s="51">
        <f>IF(I51=0,0,J51/I51)</f>
        <v>0.54763792877186035</v>
      </c>
      <c r="L51" s="51">
        <f>+I51/$I$89</f>
        <v>3.3338239054298932E-2</v>
      </c>
      <c r="M51" s="6"/>
      <c r="N51" s="72"/>
      <c r="O51" s="73"/>
      <c r="P51" s="52"/>
      <c r="Q51" s="52"/>
      <c r="R51" s="52"/>
      <c r="S51" s="52"/>
      <c r="T51" s="52"/>
      <c r="U51" s="52"/>
      <c r="V51" s="52"/>
      <c r="W51" s="52"/>
      <c r="X51" s="52"/>
      <c r="Y51" s="52"/>
      <c r="Z51" s="52"/>
      <c r="AA51" s="52"/>
      <c r="AB51" s="52"/>
    </row>
    <row r="52" spans="1:28" ht="15" customHeight="1" outlineLevel="2" x14ac:dyDescent="0.25">
      <c r="A52" s="20"/>
      <c r="B52" s="21"/>
      <c r="C52" s="21"/>
      <c r="D52" s="21"/>
      <c r="E52" s="21"/>
      <c r="F52" s="22"/>
      <c r="G52" s="22"/>
      <c r="H52" s="23"/>
      <c r="I52" s="24"/>
      <c r="J52" s="25"/>
      <c r="K52" s="26"/>
      <c r="L52" s="26"/>
      <c r="M52" s="6"/>
      <c r="N52" s="52"/>
      <c r="O52" s="52"/>
      <c r="P52" s="52"/>
      <c r="Q52" s="52"/>
      <c r="R52" s="52"/>
      <c r="S52" s="52"/>
      <c r="T52" s="52"/>
      <c r="U52" s="52"/>
      <c r="V52" s="52"/>
      <c r="W52" s="52"/>
      <c r="X52" s="52"/>
      <c r="Y52" s="52"/>
      <c r="Z52" s="52"/>
      <c r="AA52" s="52"/>
      <c r="AB52" s="52"/>
    </row>
    <row r="53" spans="1:28" ht="15" customHeight="1" outlineLevel="2" x14ac:dyDescent="0.25">
      <c r="A53" s="55" t="s">
        <v>42</v>
      </c>
      <c r="B53" s="56">
        <f>MIN((B25-D25)*'data from oilseed masterfile'!S42,B25-D25-F25)*55%</f>
        <v>4.2099558535589754</v>
      </c>
      <c r="C53" s="56"/>
      <c r="D53" s="56">
        <f>+'data from oilseed masterfile'!S37</f>
        <v>0.43734345600000002</v>
      </c>
      <c r="E53" s="56">
        <f>B53-D53</f>
        <v>3.7726123975589756</v>
      </c>
      <c r="F53" s="56">
        <f>(B53-D53)</f>
        <v>3.7726123975589756</v>
      </c>
      <c r="G53" s="56">
        <f>F53</f>
        <v>3.7726123975589756</v>
      </c>
      <c r="H53" s="61">
        <v>0.36</v>
      </c>
      <c r="I53" s="58">
        <f>F53*H53</f>
        <v>1.3581404631212313</v>
      </c>
      <c r="J53" s="58">
        <f>G53*H53</f>
        <v>1.3581404631212313</v>
      </c>
      <c r="K53" s="26"/>
      <c r="L53" s="26"/>
      <c r="M53" s="6">
        <f>+IF(H53&lt;15%,1,IF(H53&lt;30%,2,IF(H53&lt;50%,3,4)))</f>
        <v>3</v>
      </c>
      <c r="N53" s="52"/>
      <c r="O53" s="52"/>
      <c r="P53" s="52"/>
      <c r="Q53" s="52"/>
      <c r="R53" s="52"/>
      <c r="S53" s="52"/>
      <c r="T53" s="52"/>
      <c r="U53" s="52"/>
      <c r="V53" s="52"/>
      <c r="W53" s="52"/>
      <c r="X53" s="52"/>
      <c r="Y53" s="52"/>
      <c r="Z53" s="52"/>
      <c r="AA53" s="52"/>
      <c r="AB53" s="52"/>
    </row>
    <row r="54" spans="1:28" ht="15" customHeight="1" outlineLevel="2" x14ac:dyDescent="0.25">
      <c r="A54" s="55" t="s">
        <v>43</v>
      </c>
      <c r="B54" s="56">
        <f>C25*'data from oilseed masterfile'!S42*55%</f>
        <v>0.12350210748594784</v>
      </c>
      <c r="C54" s="56"/>
      <c r="D54" s="56"/>
      <c r="E54" s="56">
        <f>B54-D54</f>
        <v>0.12350210748594784</v>
      </c>
      <c r="F54" s="56">
        <f>(B54-D54)</f>
        <v>0.12350210748594784</v>
      </c>
      <c r="G54" s="56">
        <v>0</v>
      </c>
      <c r="H54" s="61">
        <v>0.36</v>
      </c>
      <c r="I54" s="58">
        <f>F54*H54</f>
        <v>4.4460758694941219E-2</v>
      </c>
      <c r="J54" s="58">
        <f>G54*H54</f>
        <v>0</v>
      </c>
      <c r="K54" s="26"/>
      <c r="L54" s="26"/>
      <c r="M54" s="6">
        <f>+IF(H54&lt;15%,1,IF(H54&lt;30%,2,IF(H54&lt;50%,3,4)))</f>
        <v>3</v>
      </c>
      <c r="N54" s="52"/>
      <c r="O54" s="52"/>
      <c r="P54" s="52"/>
      <c r="Q54" s="52"/>
      <c r="R54" s="52"/>
      <c r="S54" s="52"/>
      <c r="T54" s="52"/>
      <c r="U54" s="52"/>
      <c r="V54" s="52"/>
      <c r="W54" s="52"/>
      <c r="X54" s="52"/>
      <c r="Y54" s="52"/>
      <c r="Z54" s="52"/>
      <c r="AA54" s="52"/>
      <c r="AB54" s="52"/>
    </row>
    <row r="55" spans="1:28" ht="15" customHeight="1" outlineLevel="2" x14ac:dyDescent="0.25">
      <c r="A55" s="55" t="s">
        <v>44</v>
      </c>
      <c r="B55" s="56"/>
      <c r="C55" s="56">
        <f>+'data from oilseed masterfile'!S33</f>
        <v>2.9927662669999999</v>
      </c>
      <c r="D55" s="56"/>
      <c r="E55" s="56">
        <f>C55</f>
        <v>2.9927662669999999</v>
      </c>
      <c r="F55" s="56">
        <f>C55-D55</f>
        <v>2.9927662669999999</v>
      </c>
      <c r="G55" s="56">
        <v>0</v>
      </c>
      <c r="H55" s="61">
        <v>0.36</v>
      </c>
      <c r="I55" s="58">
        <f>F55*H55</f>
        <v>1.0773958561199999</v>
      </c>
      <c r="J55" s="58">
        <f>G55*H55</f>
        <v>0</v>
      </c>
      <c r="K55" s="26"/>
      <c r="L55" s="26"/>
      <c r="M55" s="6">
        <f>+IF(H55&lt;15%,1,IF(H55&lt;30%,2,IF(H55&lt;50%,3,4)))</f>
        <v>3</v>
      </c>
      <c r="N55" s="73"/>
      <c r="O55" s="73"/>
      <c r="P55" s="52"/>
      <c r="Q55" s="52"/>
      <c r="R55" s="52"/>
      <c r="S55" s="52"/>
      <c r="T55" s="52"/>
      <c r="U55" s="52"/>
      <c r="V55" s="52"/>
      <c r="W55" s="52"/>
      <c r="X55" s="52"/>
      <c r="Y55" s="52"/>
      <c r="Z55" s="52"/>
      <c r="AA55" s="52"/>
      <c r="AB55" s="52"/>
    </row>
    <row r="56" spans="1:28" ht="12.75" customHeight="1" outlineLevel="2" x14ac:dyDescent="0.25">
      <c r="A56" s="20"/>
      <c r="B56" s="21"/>
      <c r="C56" s="21"/>
      <c r="D56" s="21"/>
      <c r="E56" s="21"/>
      <c r="F56" s="22"/>
      <c r="G56" s="22"/>
      <c r="H56" s="23"/>
      <c r="I56" s="24"/>
      <c r="J56" s="25"/>
      <c r="K56" s="26"/>
      <c r="L56" s="26"/>
      <c r="M56" s="6"/>
      <c r="N56" s="73"/>
      <c r="O56" s="73"/>
      <c r="P56" s="52"/>
      <c r="Q56" s="52"/>
      <c r="R56" s="52"/>
      <c r="S56" s="52"/>
      <c r="T56" s="52"/>
      <c r="U56" s="52"/>
      <c r="V56" s="52"/>
      <c r="W56" s="52"/>
      <c r="X56" s="52"/>
      <c r="Y56" s="52"/>
      <c r="Z56" s="52"/>
      <c r="AA56" s="52"/>
      <c r="AB56" s="52"/>
    </row>
    <row r="57" spans="1:28" ht="15" customHeight="1" outlineLevel="2" x14ac:dyDescent="0.25">
      <c r="A57" s="48" t="s">
        <v>92</v>
      </c>
      <c r="B57" s="49">
        <f t="shared" ref="B57:E57" si="11">B59+B60+B61</f>
        <v>0.59399999999999997</v>
      </c>
      <c r="C57" s="49">
        <f t="shared" si="11"/>
        <v>1.7843674090000001</v>
      </c>
      <c r="D57" s="49">
        <f t="shared" si="11"/>
        <v>9.7828155E-2</v>
      </c>
      <c r="E57" s="49">
        <f t="shared" si="11"/>
        <v>2.2805392540000002</v>
      </c>
      <c r="F57" s="49">
        <f>F59+F60+F61</f>
        <v>2.2805392540000002</v>
      </c>
      <c r="G57" s="49">
        <f>G59+G60+G61</f>
        <v>0.16032897399999999</v>
      </c>
      <c r="H57" s="50"/>
      <c r="I57" s="50">
        <f>SUM(I59:I61)</f>
        <v>0.47452167346000002</v>
      </c>
      <c r="J57" s="50">
        <f>SUM(J59:J61)</f>
        <v>6.8187280719999993E-2</v>
      </c>
      <c r="K57" s="51">
        <f>IF(I57=0,0,J57/I57)</f>
        <v>0.14369687315398855</v>
      </c>
      <c r="L57" s="51">
        <f>+I57/$I$89</f>
        <v>6.3789256555981362E-3</v>
      </c>
      <c r="M57" s="6"/>
      <c r="N57" s="73"/>
      <c r="O57" s="73"/>
      <c r="P57" s="52"/>
      <c r="Q57" s="52"/>
      <c r="R57" s="52"/>
      <c r="S57" s="52"/>
      <c r="T57" s="52"/>
      <c r="U57" s="52"/>
      <c r="V57" s="52"/>
      <c r="W57" s="52"/>
      <c r="X57" s="52"/>
      <c r="Y57" s="52"/>
      <c r="Z57" s="52"/>
      <c r="AA57" s="52"/>
      <c r="AB57" s="52"/>
    </row>
    <row r="58" spans="1:28" ht="15" customHeight="1" outlineLevel="2" x14ac:dyDescent="0.25">
      <c r="A58" s="20"/>
      <c r="B58" s="21"/>
      <c r="C58" s="21"/>
      <c r="D58" s="21"/>
      <c r="E58" s="21"/>
      <c r="F58" s="22"/>
      <c r="G58" s="22"/>
      <c r="H58" s="23"/>
      <c r="I58" s="24"/>
      <c r="J58" s="25"/>
      <c r="K58" s="26"/>
      <c r="L58" s="26"/>
      <c r="M58" s="6"/>
      <c r="N58" s="73"/>
      <c r="O58" s="73"/>
      <c r="P58" s="52"/>
      <c r="Q58" s="52"/>
      <c r="R58" s="52"/>
      <c r="S58" s="52"/>
      <c r="T58" s="52"/>
      <c r="U58" s="52"/>
      <c r="V58" s="52"/>
      <c r="W58" s="52"/>
      <c r="X58" s="52"/>
      <c r="Y58" s="52"/>
      <c r="Z58" s="52"/>
      <c r="AA58" s="52"/>
      <c r="AB58" s="52"/>
    </row>
    <row r="59" spans="1:28" ht="15" customHeight="1" outlineLevel="2" x14ac:dyDescent="0.25">
      <c r="A59" s="55" t="s">
        <v>46</v>
      </c>
      <c r="B59" s="56">
        <v>0</v>
      </c>
      <c r="C59" s="56">
        <v>1.747428347</v>
      </c>
      <c r="D59" s="56">
        <v>4.2216954000000001E-2</v>
      </c>
      <c r="E59" s="56">
        <f>B59+C59-D59</f>
        <v>1.7052113930000001</v>
      </c>
      <c r="F59" s="56">
        <f>E59</f>
        <v>1.7052113930000001</v>
      </c>
      <c r="G59" s="56">
        <f>IF(B59&gt;E59,F59,F59*(B59-D59)/E59)</f>
        <v>-4.2216954000000001E-2</v>
      </c>
      <c r="H59" s="63">
        <v>0.16</v>
      </c>
      <c r="I59" s="58">
        <f>F59*H59</f>
        <v>0.27283382288000002</v>
      </c>
      <c r="J59" s="58">
        <f>G59*H59</f>
        <v>-6.7547126400000004E-3</v>
      </c>
      <c r="K59" s="26"/>
      <c r="L59" s="26"/>
      <c r="M59" s="6">
        <f>+IF(H59&lt;15%,1,IF(H59&lt;30%,2,IF(H59&lt;50%,3,4)))</f>
        <v>2</v>
      </c>
      <c r="N59" s="52"/>
      <c r="O59" s="52"/>
      <c r="P59" s="52"/>
      <c r="Q59" s="52"/>
      <c r="R59" s="52"/>
      <c r="S59" s="52"/>
      <c r="T59" s="52"/>
      <c r="U59" s="52"/>
      <c r="V59" s="52"/>
      <c r="W59" s="52"/>
      <c r="X59" s="52"/>
      <c r="Y59" s="52"/>
      <c r="Z59" s="52"/>
      <c r="AA59" s="52"/>
      <c r="AB59" s="52"/>
    </row>
    <row r="60" spans="1:28" ht="15" customHeight="1" outlineLevel="2" x14ac:dyDescent="0.25">
      <c r="A60" s="55" t="s">
        <v>47</v>
      </c>
      <c r="B60" s="56">
        <v>0.379</v>
      </c>
      <c r="C60" s="56">
        <v>4.5136880000000001E-3</v>
      </c>
      <c r="D60" s="56">
        <v>1.0731755000000001E-2</v>
      </c>
      <c r="E60" s="56">
        <f>B60+C60-D60</f>
        <v>0.37278193300000001</v>
      </c>
      <c r="F60" s="56">
        <f>E60</f>
        <v>0.37278193300000001</v>
      </c>
      <c r="G60" s="56">
        <v>0</v>
      </c>
      <c r="H60" s="61">
        <v>0.34</v>
      </c>
      <c r="I60" s="58">
        <f>F60*H60</f>
        <v>0.12674585722000001</v>
      </c>
      <c r="J60" s="58">
        <f>G60*H60</f>
        <v>0</v>
      </c>
      <c r="K60" s="26"/>
      <c r="L60" s="26"/>
      <c r="M60" s="6">
        <f>+IF(H60&lt;15%,1,IF(H60&lt;30%,2,IF(H60&lt;50%,3,4)))</f>
        <v>3</v>
      </c>
      <c r="N60" s="52"/>
      <c r="O60" s="52"/>
      <c r="P60" s="52"/>
      <c r="Q60" s="52"/>
      <c r="R60" s="52"/>
      <c r="S60" s="52"/>
      <c r="T60" s="52"/>
      <c r="U60" s="52"/>
      <c r="V60" s="52"/>
      <c r="W60" s="52"/>
      <c r="X60" s="52"/>
      <c r="Y60" s="52"/>
      <c r="Z60" s="52"/>
      <c r="AA60" s="52"/>
      <c r="AB60" s="52"/>
    </row>
    <row r="61" spans="1:28" ht="15" customHeight="1" outlineLevel="2" x14ac:dyDescent="0.25">
      <c r="A61" s="55" t="s">
        <v>48</v>
      </c>
      <c r="B61" s="56">
        <v>0.215</v>
      </c>
      <c r="C61" s="56">
        <v>3.2425373999999993E-2</v>
      </c>
      <c r="D61" s="56">
        <v>4.4879446000000003E-2</v>
      </c>
      <c r="E61" s="56">
        <f>B61+C61-D61</f>
        <v>0.20254592799999999</v>
      </c>
      <c r="F61" s="56">
        <f>E61</f>
        <v>0.20254592799999999</v>
      </c>
      <c r="G61" s="56">
        <f>IF(B61&gt;E61,F61,F61*(B61-D61)/E61)</f>
        <v>0.20254592799999999</v>
      </c>
      <c r="H61" s="61">
        <v>0.37</v>
      </c>
      <c r="I61" s="58">
        <f>F61*H61</f>
        <v>7.494199336E-2</v>
      </c>
      <c r="J61" s="58">
        <f>G61*H61</f>
        <v>7.494199336E-2</v>
      </c>
      <c r="K61" s="26"/>
      <c r="L61" s="26"/>
      <c r="M61" s="6">
        <f>+IF(H61&lt;15%,1,IF(H61&lt;30%,2,IF(H61&lt;50%,3,4)))</f>
        <v>3</v>
      </c>
      <c r="N61" s="52"/>
      <c r="O61" s="52"/>
      <c r="P61" s="52"/>
      <c r="Q61" s="52"/>
      <c r="R61" s="52"/>
      <c r="S61" s="52"/>
      <c r="T61" s="52"/>
      <c r="U61" s="52"/>
      <c r="V61" s="52"/>
      <c r="W61" s="52"/>
      <c r="X61" s="52"/>
      <c r="Y61" s="52"/>
      <c r="Z61" s="52"/>
      <c r="AA61" s="52"/>
      <c r="AB61" s="52"/>
    </row>
    <row r="62" spans="1:28" ht="12.75" customHeight="1" outlineLevel="2" x14ac:dyDescent="0.25">
      <c r="A62" s="20"/>
      <c r="B62" s="21"/>
      <c r="C62" s="21"/>
      <c r="D62" s="21"/>
      <c r="E62" s="21"/>
      <c r="F62" s="22"/>
      <c r="G62" s="22"/>
      <c r="H62" s="23"/>
      <c r="I62" s="24"/>
      <c r="J62" s="25"/>
      <c r="K62" s="26"/>
      <c r="L62" s="26"/>
      <c r="M62" s="6"/>
      <c r="N62" s="73"/>
      <c r="O62" s="73"/>
      <c r="P62" s="52"/>
      <c r="Q62" s="52"/>
      <c r="R62" s="52"/>
      <c r="S62" s="52"/>
      <c r="T62" s="52"/>
      <c r="U62" s="52"/>
      <c r="V62" s="52"/>
      <c r="W62" s="52"/>
      <c r="X62" s="52"/>
      <c r="Y62" s="52"/>
      <c r="Z62" s="52"/>
      <c r="AA62" s="52"/>
      <c r="AB62" s="52"/>
    </row>
    <row r="63" spans="1:28" ht="19.5" customHeight="1" outlineLevel="1" x14ac:dyDescent="0.25">
      <c r="A63" s="48" t="s">
        <v>49</v>
      </c>
      <c r="B63" s="49">
        <f t="shared" ref="B63:E63" si="12">SUM(B65:B72)</f>
        <v>33.975027398663975</v>
      </c>
      <c r="C63" s="49">
        <f t="shared" si="12"/>
        <v>3.4352896389999996</v>
      </c>
      <c r="D63" s="49">
        <f t="shared" si="12"/>
        <v>1.46338043</v>
      </c>
      <c r="E63" s="49">
        <f t="shared" si="12"/>
        <v>35.946936607663972</v>
      </c>
      <c r="F63" s="49">
        <f>SUM(F65:F72)</f>
        <v>32.302110042835494</v>
      </c>
      <c r="G63" s="49">
        <f>SUM(G65:G72)</f>
        <v>30.6081746328355</v>
      </c>
      <c r="H63" s="50"/>
      <c r="I63" s="50">
        <f>SUM(I65:I72)</f>
        <v>4.8609422596294998</v>
      </c>
      <c r="J63" s="50">
        <f>SUM(J65:J72)</f>
        <v>4.629406083399501</v>
      </c>
      <c r="K63" s="51">
        <f>IF(I63=0,0,J63/I63)</f>
        <v>0.95236804638620698</v>
      </c>
      <c r="L63" s="51">
        <f>+I63/$I$89</f>
        <v>6.5344937912399884E-2</v>
      </c>
      <c r="M63" s="6"/>
      <c r="N63" s="52"/>
      <c r="O63" s="52"/>
      <c r="P63" s="52"/>
      <c r="Q63" s="52"/>
      <c r="R63" s="52"/>
      <c r="S63" s="52"/>
      <c r="T63" s="52"/>
      <c r="U63" s="52"/>
      <c r="V63" s="52"/>
      <c r="W63" s="52"/>
      <c r="X63" s="52"/>
      <c r="Y63" s="52"/>
      <c r="Z63" s="52"/>
      <c r="AA63" s="52"/>
      <c r="AB63" s="52"/>
    </row>
    <row r="64" spans="1:28" ht="15" customHeight="1" outlineLevel="2" x14ac:dyDescent="0.25">
      <c r="A64" s="20"/>
      <c r="B64" s="21"/>
      <c r="C64" s="21"/>
      <c r="D64" s="21"/>
      <c r="E64" s="21"/>
      <c r="F64" s="22"/>
      <c r="G64" s="22"/>
      <c r="H64" s="23"/>
      <c r="I64" s="24"/>
      <c r="J64" s="25"/>
      <c r="K64" s="26"/>
      <c r="L64" s="26"/>
      <c r="M64" s="6"/>
      <c r="N64" s="52"/>
      <c r="O64" s="52"/>
      <c r="P64" s="52"/>
      <c r="Q64" s="52"/>
      <c r="R64" s="52"/>
      <c r="S64" s="52"/>
      <c r="T64" s="52"/>
      <c r="U64" s="52"/>
      <c r="V64" s="52"/>
      <c r="W64" s="52"/>
      <c r="X64" s="52"/>
      <c r="Y64" s="52"/>
      <c r="Z64" s="52"/>
      <c r="AA64" s="52"/>
      <c r="AB64" s="52"/>
    </row>
    <row r="65" spans="1:28" ht="15" customHeight="1" outlineLevel="2" x14ac:dyDescent="0.25">
      <c r="A65" s="55" t="s">
        <v>50</v>
      </c>
      <c r="B65" s="56">
        <v>3.9388244431836519</v>
      </c>
      <c r="C65" s="56">
        <v>0.4609025630000001</v>
      </c>
      <c r="D65" s="56">
        <v>0.40595848899999998</v>
      </c>
      <c r="E65" s="56">
        <f t="shared" ref="E65:E67" si="13">B65+C65-D65</f>
        <v>3.9937685171836521</v>
      </c>
      <c r="F65" s="56">
        <f>E65</f>
        <v>3.9937685171836521</v>
      </c>
      <c r="G65" s="56">
        <f>+F65</f>
        <v>3.9937685171836521</v>
      </c>
      <c r="H65" s="63">
        <v>0.19</v>
      </c>
      <c r="I65" s="58">
        <f>F65*H65</f>
        <v>0.75881601826489387</v>
      </c>
      <c r="J65" s="58">
        <f>G65*H65</f>
        <v>0.75881601826489387</v>
      </c>
      <c r="K65" s="26"/>
      <c r="L65" s="26"/>
      <c r="M65" s="6">
        <f t="shared" ref="M65:M71" si="14">+IF(H65&lt;15%,1,IF(H65&lt;30%,2,IF(H65&lt;50%,3,4)))</f>
        <v>2</v>
      </c>
      <c r="N65" s="52"/>
      <c r="O65" s="52"/>
      <c r="P65" s="52"/>
      <c r="Q65" s="52"/>
      <c r="R65" s="52"/>
      <c r="S65" s="52"/>
      <c r="T65" s="52"/>
      <c r="U65" s="52"/>
      <c r="V65" s="52"/>
      <c r="W65" s="52"/>
      <c r="X65" s="52"/>
      <c r="Y65" s="52"/>
      <c r="Z65" s="52"/>
      <c r="AA65" s="52"/>
      <c r="AB65" s="52"/>
    </row>
    <row r="66" spans="1:28" ht="15.75" outlineLevel="2" x14ac:dyDescent="0.25">
      <c r="A66" s="55" t="s">
        <v>51</v>
      </c>
      <c r="B66" s="56">
        <v>0.98745291245987832</v>
      </c>
      <c r="C66" s="56"/>
      <c r="D66" s="56"/>
      <c r="E66" s="56">
        <f t="shared" si="13"/>
        <v>0.98745291245987832</v>
      </c>
      <c r="F66" s="56">
        <v>0.65958173011100163</v>
      </c>
      <c r="G66" s="56">
        <f>+F66</f>
        <v>0.65958173011100163</v>
      </c>
      <c r="H66" s="65">
        <v>0.73</v>
      </c>
      <c r="I66" s="58">
        <f>F66*H66</f>
        <v>0.48149466298103116</v>
      </c>
      <c r="J66" s="58">
        <f>G66*H66</f>
        <v>0.48149466298103116</v>
      </c>
      <c r="K66" s="26"/>
      <c r="L66" s="26"/>
      <c r="M66" s="6">
        <f t="shared" si="14"/>
        <v>4</v>
      </c>
      <c r="N66" s="52"/>
      <c r="O66" s="52"/>
      <c r="P66" s="52"/>
      <c r="Q66" s="52"/>
      <c r="R66" s="52"/>
      <c r="S66" s="52"/>
      <c r="T66" s="52"/>
      <c r="U66" s="52"/>
      <c r="V66" s="52"/>
      <c r="W66" s="52"/>
      <c r="X66" s="52"/>
      <c r="Y66" s="52"/>
      <c r="Z66" s="52"/>
      <c r="AA66" s="52"/>
      <c r="AB66" s="52"/>
    </row>
    <row r="67" spans="1:28" ht="29.25" customHeight="1" outlineLevel="2" x14ac:dyDescent="0.25">
      <c r="A67" s="66" t="s">
        <v>52</v>
      </c>
      <c r="B67" s="67">
        <f>'data from cereal masterfile'!E60*(E77*0.362+(1-E77)*0.276)</f>
        <v>4.3222476091301703</v>
      </c>
      <c r="C67" s="67">
        <v>0.51687273200000006</v>
      </c>
      <c r="D67" s="67">
        <v>0.271273555</v>
      </c>
      <c r="E67" s="67">
        <f t="shared" si="13"/>
        <v>4.567846786130171</v>
      </c>
      <c r="F67" s="67">
        <f>E67</f>
        <v>4.567846786130171</v>
      </c>
      <c r="G67" s="67">
        <f>IF(B67&gt;E67,F67,F67*(B67-D67)/E67)</f>
        <v>4.0509740541301706</v>
      </c>
      <c r="H67" s="68" t="s">
        <v>53</v>
      </c>
      <c r="I67" s="69">
        <f>(B67-D67)*0.3+C67*0.27</f>
        <v>1.3548478538790512</v>
      </c>
      <c r="J67" s="69">
        <f>(B67-D67)*0.3</f>
        <v>1.2152922162390511</v>
      </c>
      <c r="K67" s="26"/>
      <c r="L67" s="26"/>
      <c r="M67" s="6">
        <v>2</v>
      </c>
      <c r="N67" s="52"/>
      <c r="O67" s="52"/>
      <c r="P67" s="52"/>
      <c r="Q67" s="52"/>
      <c r="R67" s="52"/>
      <c r="S67" s="52"/>
      <c r="T67" s="52"/>
      <c r="U67" s="52"/>
      <c r="V67" s="52"/>
      <c r="W67" s="52"/>
      <c r="X67" s="52"/>
      <c r="Y67" s="52"/>
      <c r="Z67" s="52"/>
      <c r="AA67" s="52"/>
      <c r="AB67" s="52"/>
    </row>
    <row r="68" spans="1:28" ht="15" customHeight="1" outlineLevel="2" x14ac:dyDescent="0.25">
      <c r="A68" s="55" t="s">
        <v>54</v>
      </c>
      <c r="B68" s="56">
        <v>5.8183970001500001</v>
      </c>
      <c r="C68" s="56"/>
      <c r="D68" s="56"/>
      <c r="E68" s="56">
        <f>+B68+C68-D68</f>
        <v>5.8183970001500001</v>
      </c>
      <c r="F68" s="56">
        <f>+E68</f>
        <v>5.8183970001500001</v>
      </c>
      <c r="G68" s="56">
        <f>+F68</f>
        <v>5.8183970001500001</v>
      </c>
      <c r="H68" s="57">
        <v>5.3999999999999999E-2</v>
      </c>
      <c r="I68" s="58">
        <f>+F68*$H$68</f>
        <v>0.31419343800810001</v>
      </c>
      <c r="J68" s="58">
        <f>+G68*$H$68</f>
        <v>0.31419343800810001</v>
      </c>
      <c r="K68" s="26"/>
      <c r="L68" s="26"/>
      <c r="M68" s="6">
        <f t="shared" si="14"/>
        <v>1</v>
      </c>
      <c r="N68" s="52"/>
      <c r="O68" s="52"/>
      <c r="P68" s="52"/>
      <c r="Q68" s="52"/>
      <c r="R68" s="52"/>
      <c r="S68" s="52"/>
      <c r="T68" s="52"/>
      <c r="U68" s="52"/>
      <c r="V68" s="52"/>
      <c r="W68" s="52"/>
      <c r="X68" s="52"/>
      <c r="Y68" s="52"/>
      <c r="Z68" s="52"/>
      <c r="AA68" s="52"/>
      <c r="AB68" s="52"/>
    </row>
    <row r="69" spans="1:28" ht="15" customHeight="1" outlineLevel="2" x14ac:dyDescent="0.25">
      <c r="A69" s="55" t="s">
        <v>55</v>
      </c>
      <c r="B69" s="56">
        <f>('data from cereal masterfile'!E63+'data from cereal masterfile'!E65)*0.15</f>
        <v>7.3501941653302714</v>
      </c>
      <c r="C69" s="56">
        <v>2.1368501000000002E-2</v>
      </c>
      <c r="D69" s="56">
        <v>0.198494644</v>
      </c>
      <c r="E69" s="56">
        <f>B69+C69-D69</f>
        <v>7.1730680223302716</v>
      </c>
      <c r="F69" s="56">
        <f>E69</f>
        <v>7.1730680223302716</v>
      </c>
      <c r="G69" s="56">
        <f>IF(B69&gt;E69,F69,F69*(B69-D69)/E69)</f>
        <v>7.1730680223302716</v>
      </c>
      <c r="H69" s="71">
        <v>0.155</v>
      </c>
      <c r="I69" s="58">
        <f>F69*H69</f>
        <v>1.1118255434611921</v>
      </c>
      <c r="J69" s="58">
        <f>G69*H69</f>
        <v>1.1118255434611921</v>
      </c>
      <c r="K69" s="26"/>
      <c r="L69" s="26"/>
      <c r="M69" s="6">
        <f t="shared" si="14"/>
        <v>2</v>
      </c>
      <c r="N69" s="52"/>
      <c r="O69" s="52"/>
      <c r="P69" s="52"/>
      <c r="Q69" s="134"/>
      <c r="R69" s="52"/>
      <c r="S69" s="52"/>
      <c r="T69" s="52"/>
      <c r="U69" s="52"/>
      <c r="V69" s="52"/>
      <c r="W69" s="72"/>
      <c r="X69" s="73"/>
      <c r="Y69" s="73"/>
      <c r="Z69" s="73"/>
      <c r="AA69" s="74"/>
      <c r="AB69" s="74"/>
    </row>
    <row r="70" spans="1:28" ht="15.75" outlineLevel="2" x14ac:dyDescent="0.25">
      <c r="A70" s="55" t="s">
        <v>56</v>
      </c>
      <c r="B70" s="56">
        <v>0</v>
      </c>
      <c r="C70" s="56">
        <v>0.27427463299999999</v>
      </c>
      <c r="D70" s="56">
        <v>2.2421389999999999E-2</v>
      </c>
      <c r="E70" s="56">
        <f>B70+C70-D70</f>
        <v>0.251853243</v>
      </c>
      <c r="F70" s="56">
        <f>E70</f>
        <v>0.251853243</v>
      </c>
      <c r="G70" s="56">
        <f>IF(B70&gt;E70,F70,F70*B70/E70)</f>
        <v>0</v>
      </c>
      <c r="H70" s="57">
        <v>7.4999999999999997E-2</v>
      </c>
      <c r="I70" s="58">
        <f>F70*H70</f>
        <v>1.8888993225000001E-2</v>
      </c>
      <c r="J70" s="58">
        <f>G70*H70</f>
        <v>0</v>
      </c>
      <c r="K70" s="26"/>
      <c r="L70" s="26"/>
      <c r="M70" s="6">
        <f t="shared" si="14"/>
        <v>1</v>
      </c>
      <c r="N70" s="52"/>
      <c r="O70" s="52"/>
      <c r="P70" s="52"/>
      <c r="Q70" s="134"/>
      <c r="R70" s="135"/>
      <c r="S70" s="52"/>
      <c r="T70" s="52"/>
      <c r="U70" s="52"/>
      <c r="V70" s="52"/>
      <c r="W70" s="72"/>
      <c r="X70" s="73"/>
      <c r="Y70" s="72"/>
      <c r="Z70" s="75"/>
      <c r="AA70" s="76"/>
      <c r="AB70" s="74"/>
    </row>
    <row r="71" spans="1:28" ht="15" customHeight="1" outlineLevel="2" x14ac:dyDescent="0.25">
      <c r="A71" s="55" t="s">
        <v>57</v>
      </c>
      <c r="B71" s="56">
        <v>7.7052741789400017</v>
      </c>
      <c r="C71" s="56">
        <v>0.92520943499999997</v>
      </c>
      <c r="D71" s="56">
        <v>0.35380905000000001</v>
      </c>
      <c r="E71" s="56">
        <f>B71+C71-D71</f>
        <v>8.2766745639400003</v>
      </c>
      <c r="F71" s="56">
        <f>E71</f>
        <v>8.2766745639400003</v>
      </c>
      <c r="G71" s="56">
        <f>IF(B71&gt;E71,F71,F71*(B71-D71)/E71)</f>
        <v>7.3514651289400019</v>
      </c>
      <c r="H71" s="57">
        <v>7.9000000000000001E-2</v>
      </c>
      <c r="I71" s="58">
        <f>F71*H71</f>
        <v>0.65385729055126007</v>
      </c>
      <c r="J71" s="58">
        <f>G71*H71</f>
        <v>0.58076574518626012</v>
      </c>
      <c r="K71" s="26"/>
      <c r="L71" s="26"/>
      <c r="M71" s="6">
        <f t="shared" si="14"/>
        <v>1</v>
      </c>
      <c r="N71" s="52"/>
      <c r="O71" s="52"/>
      <c r="P71" s="52"/>
      <c r="Q71" s="52"/>
      <c r="R71" s="52"/>
      <c r="S71" s="52"/>
      <c r="T71" s="52"/>
      <c r="U71" s="52"/>
      <c r="V71" s="52"/>
      <c r="W71" s="52"/>
      <c r="X71" s="52"/>
      <c r="Y71" s="52"/>
      <c r="Z71" s="52"/>
      <c r="AA71" s="52"/>
      <c r="AB71" s="52"/>
    </row>
    <row r="72" spans="1:28" ht="30" customHeight="1" outlineLevel="2" x14ac:dyDescent="0.25">
      <c r="A72" s="66" t="s">
        <v>58</v>
      </c>
      <c r="B72" s="67">
        <v>3.8526370894700008</v>
      </c>
      <c r="C72" s="67">
        <v>1.2366617749999997</v>
      </c>
      <c r="D72" s="67">
        <v>0.21142330200000001</v>
      </c>
      <c r="E72" s="67">
        <f>B72+C72-D72</f>
        <v>4.8778755624700008</v>
      </c>
      <c r="F72" s="67">
        <f>E72*0.32</f>
        <v>1.5609201799904002</v>
      </c>
      <c r="G72" s="67">
        <f>+IF(B72&gt;F72,F72,B72-D72)</f>
        <v>1.5609201799904002</v>
      </c>
      <c r="H72" s="77" t="s">
        <v>95</v>
      </c>
      <c r="I72" s="69">
        <f>G72*0.107+(F72-G72)*0.042</f>
        <v>0.16701845925897282</v>
      </c>
      <c r="J72" s="69">
        <f>G72*0.107</f>
        <v>0.16701845925897282</v>
      </c>
      <c r="K72" s="26"/>
      <c r="L72" s="26"/>
      <c r="M72" s="6">
        <v>1</v>
      </c>
      <c r="N72" s="52"/>
      <c r="O72" s="52"/>
      <c r="P72" s="52"/>
      <c r="Q72" s="52"/>
      <c r="R72" s="52"/>
      <c r="S72" s="52"/>
      <c r="T72" s="52"/>
      <c r="U72" s="52"/>
      <c r="V72" s="52"/>
      <c r="W72" s="52"/>
      <c r="X72" s="52"/>
      <c r="Y72" s="52"/>
      <c r="Z72" s="52"/>
      <c r="AA72" s="52"/>
      <c r="AB72" s="52"/>
    </row>
    <row r="73" spans="1:28" ht="12.75" customHeight="1" x14ac:dyDescent="0.25">
      <c r="A73" s="20"/>
      <c r="B73" s="21"/>
      <c r="C73" s="21"/>
      <c r="D73" s="21"/>
      <c r="E73" s="21"/>
      <c r="F73" s="22"/>
      <c r="G73" s="22"/>
      <c r="H73" s="23"/>
      <c r="I73" s="24"/>
      <c r="J73" s="25"/>
      <c r="K73" s="26"/>
      <c r="L73" s="26"/>
      <c r="M73" s="6"/>
      <c r="N73" s="52"/>
      <c r="O73" s="52"/>
      <c r="P73" s="52"/>
      <c r="Q73" s="52"/>
      <c r="R73" s="52"/>
      <c r="S73" s="52"/>
      <c r="T73" s="52"/>
      <c r="U73" s="52"/>
      <c r="V73" s="52"/>
      <c r="W73" s="52"/>
      <c r="X73" s="52"/>
      <c r="Y73" s="52"/>
      <c r="Z73" s="52"/>
      <c r="AA73" s="52"/>
      <c r="AB73" s="52"/>
    </row>
    <row r="74" spans="1:28" ht="36.75" customHeight="1" x14ac:dyDescent="0.25">
      <c r="A74" s="27" t="s">
        <v>60</v>
      </c>
      <c r="B74" s="28"/>
      <c r="C74" s="28"/>
      <c r="D74" s="28"/>
      <c r="E74" s="28"/>
      <c r="F74" s="29">
        <f>SUM(F76:F80)</f>
        <v>6.0085528261918206</v>
      </c>
      <c r="G74" s="29">
        <f>SUM(G76:G80)</f>
        <v>5.8102204951918202</v>
      </c>
      <c r="H74" s="30"/>
      <c r="I74" s="30">
        <f>SUM(I76:I80)</f>
        <v>1.6758228969545041</v>
      </c>
      <c r="J74" s="30">
        <f>SUM(J76:J80)</f>
        <v>1.5509863685045042</v>
      </c>
      <c r="K74" s="31">
        <f>IF(I74=0,0,J74/I74)</f>
        <v>0.92550732617577491</v>
      </c>
      <c r="L74" s="31">
        <f>+I74/$I$89</f>
        <v>2.252784281416598E-2</v>
      </c>
      <c r="M74" s="6"/>
      <c r="N74" s="52"/>
      <c r="O74" s="52"/>
      <c r="P74" s="52"/>
      <c r="Q74" s="52"/>
      <c r="R74" s="52"/>
      <c r="S74" s="52"/>
      <c r="T74" s="52"/>
      <c r="U74" s="52"/>
      <c r="V74" s="52"/>
      <c r="W74" s="52"/>
      <c r="X74" s="52"/>
      <c r="Y74" s="52"/>
      <c r="Z74" s="52"/>
      <c r="AA74" s="52"/>
      <c r="AB74" s="52"/>
    </row>
    <row r="75" spans="1:28" ht="15" customHeight="1" outlineLevel="1" x14ac:dyDescent="0.25">
      <c r="A75" s="20" t="s">
        <v>61</v>
      </c>
      <c r="B75" s="21"/>
      <c r="C75" s="21"/>
      <c r="D75" s="21"/>
      <c r="E75" s="21"/>
      <c r="F75" s="22"/>
      <c r="G75" s="22"/>
      <c r="H75" s="23"/>
      <c r="I75" s="24"/>
      <c r="J75" s="25"/>
      <c r="K75" s="26"/>
      <c r="L75" s="26"/>
      <c r="M75" s="6"/>
      <c r="N75" s="52"/>
      <c r="O75" s="52"/>
      <c r="P75" s="52"/>
      <c r="Q75" s="52"/>
      <c r="R75" s="52"/>
      <c r="S75" s="52"/>
      <c r="T75" s="52"/>
      <c r="U75" s="52"/>
      <c r="V75" s="52"/>
      <c r="W75" s="52"/>
      <c r="X75" s="52"/>
      <c r="Y75" s="52"/>
      <c r="Z75" s="52"/>
      <c r="AA75" s="52"/>
      <c r="AB75" s="52"/>
    </row>
    <row r="76" spans="1:28" ht="15" customHeight="1" outlineLevel="1" x14ac:dyDescent="0.25">
      <c r="A76" s="55" t="s">
        <v>96</v>
      </c>
      <c r="B76" s="56">
        <v>0.42699999999999999</v>
      </c>
      <c r="C76" s="56">
        <v>0.29438822600000003</v>
      </c>
      <c r="D76" s="56">
        <v>0.24714799499999998</v>
      </c>
      <c r="E76" s="56">
        <f>B76+C76-D76</f>
        <v>0.47424023100000001</v>
      </c>
      <c r="F76" s="56">
        <f>E76</f>
        <v>0.47424023100000001</v>
      </c>
      <c r="G76" s="56">
        <f>IF(B76&gt;E76,F76,F76*B76/E76)</f>
        <v>0.42699999999999999</v>
      </c>
      <c r="H76" s="65">
        <v>0.65</v>
      </c>
      <c r="I76" s="58">
        <f>F76*H76</f>
        <v>0.30825615015000002</v>
      </c>
      <c r="J76" s="58">
        <f>G76*H76</f>
        <v>0.27755000000000002</v>
      </c>
      <c r="K76" s="26"/>
      <c r="L76" s="26"/>
      <c r="M76" s="6">
        <f>+IF(H76&lt;15%,1,IF(H76&lt;30%,2,IF(H76&lt;50%,3,4)))</f>
        <v>4</v>
      </c>
      <c r="N76" s="52"/>
      <c r="O76" s="52"/>
      <c r="P76" s="52"/>
      <c r="Q76" s="52"/>
      <c r="R76" s="52"/>
      <c r="S76" s="52"/>
      <c r="T76" s="52"/>
      <c r="U76" s="52"/>
      <c r="V76" s="52"/>
      <c r="W76" s="52"/>
      <c r="X76" s="52"/>
      <c r="Y76" s="52"/>
      <c r="Z76" s="52"/>
      <c r="AA76" s="52"/>
      <c r="AB76" s="52"/>
    </row>
    <row r="77" spans="1:28" ht="15.75" outlineLevel="1" x14ac:dyDescent="0.25">
      <c r="A77" s="55" t="s">
        <v>97</v>
      </c>
      <c r="B77" s="56">
        <v>1.7854038192145643</v>
      </c>
      <c r="C77" s="56">
        <v>0.16738329399999999</v>
      </c>
      <c r="D77" s="56">
        <v>0.61230927200000007</v>
      </c>
      <c r="E77" s="56">
        <f>B77+C77-D77</f>
        <v>1.3404778412145641</v>
      </c>
      <c r="F77" s="56">
        <v>0.9</v>
      </c>
      <c r="G77" s="56">
        <v>0.9</v>
      </c>
      <c r="H77" s="57">
        <v>0.125</v>
      </c>
      <c r="I77" s="58">
        <f>F77*H77</f>
        <v>0.1125</v>
      </c>
      <c r="J77" s="58">
        <f>G77*H77</f>
        <v>0.1125</v>
      </c>
      <c r="K77" s="26"/>
      <c r="L77" s="26"/>
      <c r="M77" s="6">
        <f>+IF(H77&lt;15%,1,IF(H77&lt;30%,2,IF(H77&lt;50%,3,4)))</f>
        <v>1</v>
      </c>
      <c r="N77" s="52"/>
      <c r="O77" s="52"/>
      <c r="P77" s="52"/>
      <c r="Q77" s="52"/>
      <c r="R77" s="52"/>
      <c r="S77" s="52"/>
      <c r="T77" s="52"/>
      <c r="U77" s="52"/>
      <c r="V77" s="52"/>
      <c r="W77" s="52"/>
      <c r="X77" s="52"/>
      <c r="Y77" s="52"/>
      <c r="Z77" s="52"/>
      <c r="AA77" s="52"/>
      <c r="AB77" s="52"/>
    </row>
    <row r="78" spans="1:28" ht="15" customHeight="1" outlineLevel="1" x14ac:dyDescent="0.25">
      <c r="A78" s="55" t="s">
        <v>98</v>
      </c>
      <c r="B78" s="56">
        <v>1.3765624999999999</v>
      </c>
      <c r="C78" s="56">
        <v>5.0447317999999991E-2</v>
      </c>
      <c r="D78" s="56">
        <v>0.69274493999999998</v>
      </c>
      <c r="E78" s="56">
        <f>B78+C78-D78</f>
        <v>0.73426487799999995</v>
      </c>
      <c r="F78" s="56">
        <v>0.17</v>
      </c>
      <c r="G78" s="56">
        <f>+F78</f>
        <v>0.17</v>
      </c>
      <c r="H78" s="61">
        <v>0.34</v>
      </c>
      <c r="I78" s="58">
        <f>F78*H78</f>
        <v>5.7800000000000011E-2</v>
      </c>
      <c r="J78" s="58">
        <f>G78*H78</f>
        <v>5.7800000000000011E-2</v>
      </c>
      <c r="K78" s="26"/>
      <c r="L78" s="26"/>
      <c r="M78" s="6">
        <f>+IF(H78&lt;15%,1,IF(H78&lt;30%,2,IF(H78&lt;50%,3,4)))</f>
        <v>3</v>
      </c>
      <c r="N78" s="52"/>
      <c r="O78" s="52"/>
      <c r="P78" s="52"/>
      <c r="Q78" s="52"/>
      <c r="R78" s="52"/>
      <c r="S78" s="52"/>
      <c r="T78" s="52"/>
      <c r="U78" s="52"/>
      <c r="V78" s="52"/>
      <c r="W78" s="52"/>
      <c r="X78" s="52"/>
      <c r="Y78" s="52"/>
      <c r="Z78" s="52"/>
      <c r="AA78" s="52"/>
      <c r="AB78" s="52"/>
    </row>
    <row r="79" spans="1:28" ht="15" customHeight="1" outlineLevel="1" x14ac:dyDescent="0.25">
      <c r="A79" s="55" t="s">
        <v>99</v>
      </c>
      <c r="B79" s="56">
        <v>2.245176581316676</v>
      </c>
      <c r="C79" s="56">
        <v>0.15109239599999999</v>
      </c>
      <c r="D79" s="56">
        <v>0.81606076399999983</v>
      </c>
      <c r="E79" s="56">
        <v>2.0703938948316187</v>
      </c>
      <c r="F79" s="56">
        <v>1.4643125951918203</v>
      </c>
      <c r="G79" s="56">
        <v>1.3132204951918203</v>
      </c>
      <c r="H79" s="65">
        <v>0.623</v>
      </c>
      <c r="I79" s="58">
        <f>F79*H79</f>
        <v>0.91226674680450404</v>
      </c>
      <c r="J79" s="58">
        <f>G79*H79</f>
        <v>0.818136368504504</v>
      </c>
      <c r="K79" s="78"/>
      <c r="L79" s="78"/>
      <c r="M79" s="6">
        <f>+IF(H79&lt;15%,1,IF(H79&lt;30%,2,IF(H79&lt;50%,3,4)))</f>
        <v>4</v>
      </c>
      <c r="N79" s="52"/>
      <c r="O79" s="52"/>
      <c r="P79" s="52"/>
      <c r="Q79" s="52"/>
      <c r="R79" s="52"/>
      <c r="S79" s="52"/>
      <c r="T79" s="52"/>
      <c r="U79" s="52"/>
      <c r="V79" s="52"/>
      <c r="W79" s="52"/>
      <c r="X79" s="52"/>
      <c r="Y79" s="52"/>
      <c r="Z79" s="52"/>
      <c r="AA79" s="52"/>
      <c r="AB79" s="52"/>
    </row>
    <row r="80" spans="1:28" ht="15" customHeight="1" outlineLevel="1" x14ac:dyDescent="0.25">
      <c r="A80" s="55" t="s">
        <v>100</v>
      </c>
      <c r="B80" s="79"/>
      <c r="C80" s="79"/>
      <c r="D80" s="79"/>
      <c r="E80" s="79"/>
      <c r="F80" s="79">
        <v>3</v>
      </c>
      <c r="G80" s="79">
        <v>3</v>
      </c>
      <c r="H80" s="57">
        <f>0.095</f>
        <v>9.5000000000000001E-2</v>
      </c>
      <c r="I80" s="58">
        <f>F80*H80</f>
        <v>0.28500000000000003</v>
      </c>
      <c r="J80" s="58">
        <f>G80*H80</f>
        <v>0.28500000000000003</v>
      </c>
      <c r="K80" s="26"/>
      <c r="L80" s="26"/>
      <c r="M80" s="6">
        <f>+IF(H80&lt;15%,1,IF(H80&lt;30%,2,IF(H80&lt;50%,3,4)))</f>
        <v>1</v>
      </c>
    </row>
    <row r="81" spans="1:28" ht="12.75" customHeight="1" x14ac:dyDescent="0.25">
      <c r="A81" s="80"/>
      <c r="B81" s="24"/>
      <c r="C81" s="24"/>
      <c r="D81" s="24"/>
      <c r="E81" s="24"/>
      <c r="F81" s="25"/>
      <c r="G81" s="25"/>
      <c r="H81" s="81"/>
      <c r="I81" s="24"/>
      <c r="J81" s="25"/>
      <c r="K81" s="26"/>
      <c r="L81" s="26"/>
      <c r="M81" s="6"/>
    </row>
    <row r="82" spans="1:28" ht="35.25" customHeight="1" x14ac:dyDescent="0.25">
      <c r="A82" s="27" t="s">
        <v>67</v>
      </c>
      <c r="B82" s="28"/>
      <c r="C82" s="28"/>
      <c r="D82" s="28"/>
      <c r="E82" s="28"/>
      <c r="F82" s="82">
        <f>SUM(F84:F87)</f>
        <v>1039.7995315048572</v>
      </c>
      <c r="G82" s="82">
        <f>SUM(G84:G87)</f>
        <v>1039.7995315048572</v>
      </c>
      <c r="H82" s="30"/>
      <c r="I82" s="82">
        <f>SUM(I84:I87)</f>
        <v>32.432052438429452</v>
      </c>
      <c r="J82" s="82">
        <f>SUM(J84:J87)</f>
        <v>32.432052438429452</v>
      </c>
      <c r="K82" s="31">
        <f>IF(I82=0,0,J82/I82)</f>
        <v>1</v>
      </c>
      <c r="L82" s="31">
        <f>+I82/$I$89</f>
        <v>0.43597935127960152</v>
      </c>
      <c r="M82" s="6"/>
    </row>
    <row r="83" spans="1:28" ht="15" customHeight="1" outlineLevel="1" x14ac:dyDescent="0.25">
      <c r="A83" s="83"/>
      <c r="B83" s="84"/>
      <c r="C83" s="84"/>
      <c r="D83" s="84"/>
      <c r="E83" s="84"/>
      <c r="F83" s="85"/>
      <c r="G83" s="85"/>
      <c r="H83" s="86"/>
      <c r="I83" s="87"/>
      <c r="J83" s="88"/>
      <c r="K83" s="89"/>
      <c r="L83" s="90"/>
      <c r="M83" s="6"/>
    </row>
    <row r="84" spans="1:28" ht="15" customHeight="1" outlineLevel="1" x14ac:dyDescent="0.25">
      <c r="A84" s="55" t="s">
        <v>68</v>
      </c>
      <c r="B84" s="79">
        <v>683.79600133144766</v>
      </c>
      <c r="C84" s="79"/>
      <c r="D84" s="79"/>
      <c r="E84" s="79">
        <f>+B84+C84-D84</f>
        <v>683.79600133144766</v>
      </c>
      <c r="F84" s="79">
        <f t="shared" ref="F84:G86" si="15">+E84</f>
        <v>683.79600133144766</v>
      </c>
      <c r="G84" s="79">
        <f t="shared" si="15"/>
        <v>683.79600133144766</v>
      </c>
      <c r="H84" s="57">
        <v>2.6066712037040814E-2</v>
      </c>
      <c r="I84" s="79">
        <f>+F84*H84</f>
        <v>17.824313458786822</v>
      </c>
      <c r="J84" s="79">
        <f>+H84*G84</f>
        <v>17.824313458786822</v>
      </c>
      <c r="K84" s="93"/>
      <c r="L84" s="93"/>
      <c r="M84" s="6">
        <f>+IF(H84&lt;15%,1,IF(H84&lt;30%,2,IF(H84&lt;50%,3,4)))</f>
        <v>1</v>
      </c>
    </row>
    <row r="85" spans="1:28" s="96" customFormat="1" ht="15" customHeight="1" outlineLevel="1" x14ac:dyDescent="0.2">
      <c r="A85" s="55" t="s">
        <v>69</v>
      </c>
      <c r="B85" s="79">
        <v>263.63432</v>
      </c>
      <c r="C85" s="79"/>
      <c r="D85" s="79"/>
      <c r="E85" s="79">
        <f>+B85+C85-D85</f>
        <v>263.63432</v>
      </c>
      <c r="F85" s="79">
        <f t="shared" si="15"/>
        <v>263.63432</v>
      </c>
      <c r="G85" s="79">
        <f t="shared" si="15"/>
        <v>263.63432</v>
      </c>
      <c r="H85" s="57">
        <v>2.9487499999999996E-2</v>
      </c>
      <c r="I85" s="79">
        <f>+F85*H85</f>
        <v>7.7739170109999991</v>
      </c>
      <c r="J85" s="79">
        <f>+H85*G85</f>
        <v>7.7739170109999991</v>
      </c>
      <c r="K85" s="94"/>
      <c r="L85" s="94"/>
      <c r="M85" s="6">
        <f>+IF(H85&lt;15%,1,IF(H85&lt;30%,2,IF(H85&lt;50%,3,4)))</f>
        <v>1</v>
      </c>
      <c r="N85" s="95"/>
      <c r="O85" s="95"/>
      <c r="P85" s="95"/>
      <c r="Q85" s="95"/>
      <c r="R85" s="95"/>
      <c r="S85" s="95"/>
      <c r="T85" s="95"/>
      <c r="U85" s="95"/>
      <c r="V85" s="95"/>
      <c r="W85" s="95"/>
      <c r="X85" s="95"/>
      <c r="Y85" s="95"/>
      <c r="Z85" s="95"/>
      <c r="AA85" s="95"/>
      <c r="AB85" s="95"/>
    </row>
    <row r="86" spans="1:28" ht="15" customHeight="1" outlineLevel="1" x14ac:dyDescent="0.25">
      <c r="A86" s="55" t="s">
        <v>70</v>
      </c>
      <c r="B86" s="79">
        <v>90.591866811409574</v>
      </c>
      <c r="C86" s="79"/>
      <c r="D86" s="79"/>
      <c r="E86" s="79">
        <f>+B86+C86-D86</f>
        <v>90.591866811409574</v>
      </c>
      <c r="F86" s="79">
        <f t="shared" si="15"/>
        <v>90.591866811409574</v>
      </c>
      <c r="G86" s="79">
        <f t="shared" si="15"/>
        <v>90.591866811409574</v>
      </c>
      <c r="H86" s="57">
        <v>7.2099999999999997E-2</v>
      </c>
      <c r="I86" s="79">
        <f>+F86*H86</f>
        <v>6.5316735971026301</v>
      </c>
      <c r="J86" s="79">
        <f>+H86*G86</f>
        <v>6.5316735971026301</v>
      </c>
      <c r="K86" s="94"/>
      <c r="L86" s="94"/>
      <c r="M86" s="6">
        <f>+IF(H86&lt;15%,1,IF(H86&lt;30%,2,IF(H86&lt;50%,3,4)))</f>
        <v>1</v>
      </c>
    </row>
    <row r="87" spans="1:28" s="136" customFormat="1" ht="14.25" customHeight="1" outlineLevel="1" x14ac:dyDescent="0.2">
      <c r="A87" s="55" t="s">
        <v>101</v>
      </c>
      <c r="B87" s="56">
        <v>3.347</v>
      </c>
      <c r="C87" s="56">
        <v>2.9852325000000002E-2</v>
      </c>
      <c r="D87" s="56">
        <v>1.5995089630000003</v>
      </c>
      <c r="E87" s="56">
        <f>B87+C87-D87</f>
        <v>1.7773433619999994</v>
      </c>
      <c r="F87" s="56">
        <f>E87</f>
        <v>1.7773433619999994</v>
      </c>
      <c r="G87" s="56">
        <f>IF(B87&gt;E87,F87,F87*B87/E87)</f>
        <v>1.7773433619999994</v>
      </c>
      <c r="H87" s="71">
        <v>0.17</v>
      </c>
      <c r="I87" s="56">
        <f>F87*H87</f>
        <v>0.3021483715399999</v>
      </c>
      <c r="J87" s="56">
        <f>G87*H87</f>
        <v>0.3021483715399999</v>
      </c>
      <c r="K87" s="94"/>
      <c r="L87" s="94"/>
      <c r="M87" s="6">
        <f>+IF(H87&lt;15%,1,IF(H87&lt;30%,2,IF(H87&lt;50%,3,4)))</f>
        <v>2</v>
      </c>
    </row>
    <row r="88" spans="1:28" ht="12.75" customHeight="1" x14ac:dyDescent="0.25">
      <c r="A88" s="80"/>
      <c r="B88" s="21"/>
      <c r="C88" s="21"/>
      <c r="D88" s="21"/>
      <c r="E88" s="21"/>
      <c r="F88" s="22"/>
      <c r="G88" s="22"/>
      <c r="H88" s="23"/>
      <c r="I88" s="24"/>
      <c r="J88" s="25"/>
      <c r="K88" s="26"/>
      <c r="L88" s="26"/>
      <c r="M88" s="6"/>
    </row>
    <row r="89" spans="1:28" ht="36.75" customHeight="1" x14ac:dyDescent="0.25">
      <c r="A89" s="27" t="s">
        <v>72</v>
      </c>
      <c r="B89" s="28"/>
      <c r="C89" s="28"/>
      <c r="D89" s="28"/>
      <c r="E89" s="28"/>
      <c r="F89" s="82"/>
      <c r="G89" s="82"/>
      <c r="H89" s="30"/>
      <c r="I89" s="82">
        <f>+I74+I82+I34+I6</f>
        <v>74.388964393018199</v>
      </c>
      <c r="J89" s="82">
        <f>+J74+J82+J34+J6</f>
        <v>59.236199995216936</v>
      </c>
      <c r="K89" s="31">
        <f>IF(I89=0,0,J89/I89)</f>
        <v>0.79630359796723515</v>
      </c>
      <c r="L89" s="31"/>
      <c r="M89" s="6"/>
    </row>
    <row r="90" spans="1:28" x14ac:dyDescent="0.25">
      <c r="A90" s="97" t="s">
        <v>73</v>
      </c>
      <c r="B90" s="98"/>
      <c r="C90" s="98"/>
      <c r="D90" s="98"/>
      <c r="E90" s="98"/>
      <c r="F90" s="98"/>
      <c r="G90" s="98"/>
      <c r="H90" s="99"/>
      <c r="I90" s="5"/>
      <c r="J90" s="5"/>
      <c r="K90" s="5"/>
      <c r="L90" s="5"/>
      <c r="M90" s="6"/>
    </row>
    <row r="91" spans="1:28" x14ac:dyDescent="0.25">
      <c r="A91" s="100" t="s">
        <v>74</v>
      </c>
      <c r="B91" s="101"/>
      <c r="C91" s="102"/>
      <c r="D91" s="102"/>
      <c r="E91" s="103"/>
      <c r="F91" s="103"/>
      <c r="G91" s="103"/>
      <c r="H91" s="104">
        <v>1</v>
      </c>
      <c r="I91" s="105">
        <f t="shared" ref="I91:J94" si="16">+SUMIF($M$7:$M$89,$H91,I$7:I$89)</f>
        <v>49.245580907086641</v>
      </c>
      <c r="J91" s="105">
        <f t="shared" si="16"/>
        <v>48.069744082715587</v>
      </c>
      <c r="K91" s="106">
        <f>+J91/I91</f>
        <v>0.97612299819166426</v>
      </c>
      <c r="L91" s="5"/>
      <c r="M91" s="6"/>
    </row>
    <row r="92" spans="1:28" x14ac:dyDescent="0.25">
      <c r="A92" s="107" t="s">
        <v>75</v>
      </c>
      <c r="B92" s="108"/>
      <c r="C92" s="109"/>
      <c r="D92" s="109"/>
      <c r="E92" s="110"/>
      <c r="F92" s="110"/>
      <c r="G92" s="110"/>
      <c r="H92" s="111">
        <v>2</v>
      </c>
      <c r="I92" s="112">
        <f t="shared" si="16"/>
        <v>4.2547504022552802</v>
      </c>
      <c r="J92" s="112">
        <f t="shared" si="16"/>
        <v>3.7901382199532576</v>
      </c>
      <c r="K92" s="113">
        <f>+J92/I92</f>
        <v>0.89080154218782148</v>
      </c>
      <c r="L92" s="5"/>
      <c r="M92" s="6"/>
    </row>
    <row r="93" spans="1:28" x14ac:dyDescent="0.25">
      <c r="A93" s="114" t="s">
        <v>76</v>
      </c>
      <c r="B93" s="110"/>
      <c r="C93" s="110"/>
      <c r="D93" s="110"/>
      <c r="E93" s="110"/>
      <c r="F93" s="110"/>
      <c r="G93" s="110"/>
      <c r="H93" s="115">
        <v>3</v>
      </c>
      <c r="I93" s="112">
        <f t="shared" si="16"/>
        <v>18.999115523740748</v>
      </c>
      <c r="J93" s="112">
        <f t="shared" si="16"/>
        <v>5.7991366610625628</v>
      </c>
      <c r="K93" s="113">
        <f>+J93/I93</f>
        <v>0.30523192797139048</v>
      </c>
      <c r="L93" s="5"/>
      <c r="M93" s="6"/>
    </row>
    <row r="94" spans="1:28" x14ac:dyDescent="0.25">
      <c r="A94" s="116" t="s">
        <v>77</v>
      </c>
      <c r="B94" s="117"/>
      <c r="C94" s="117"/>
      <c r="D94" s="117"/>
      <c r="E94" s="117"/>
      <c r="F94" s="117"/>
      <c r="G94" s="117"/>
      <c r="H94" s="118">
        <v>4</v>
      </c>
      <c r="I94" s="119">
        <f t="shared" si="16"/>
        <v>1.8895175599355352</v>
      </c>
      <c r="J94" s="119">
        <f t="shared" si="16"/>
        <v>1.5771810314855352</v>
      </c>
      <c r="K94" s="120">
        <f>+J94/I94</f>
        <v>0.83470038327632379</v>
      </c>
      <c r="L94" s="5"/>
      <c r="M94" s="6"/>
    </row>
    <row r="95" spans="1:28" ht="25.5" customHeight="1" x14ac:dyDescent="0.25">
      <c r="A95" s="303" t="s">
        <v>78</v>
      </c>
      <c r="B95" s="304"/>
      <c r="C95" s="304"/>
      <c r="D95" s="304"/>
      <c r="E95" s="304"/>
      <c r="F95" s="304"/>
      <c r="G95" s="304"/>
      <c r="H95" s="304"/>
      <c r="I95" s="304"/>
      <c r="J95" s="304"/>
      <c r="K95" s="304"/>
      <c r="L95" s="304"/>
      <c r="M95" s="6"/>
    </row>
    <row r="96" spans="1:28" x14ac:dyDescent="0.25">
      <c r="A96" s="5"/>
      <c r="B96" s="98"/>
      <c r="C96" s="98"/>
      <c r="D96" s="98"/>
      <c r="E96" s="98"/>
      <c r="F96" s="98"/>
      <c r="G96" s="98"/>
      <c r="H96" s="99"/>
      <c r="I96" s="5"/>
      <c r="J96" s="5"/>
      <c r="K96" s="5"/>
      <c r="L96" s="5"/>
      <c r="M96" s="6"/>
    </row>
  </sheetData>
  <mergeCells count="4">
    <mergeCell ref="B3:G3"/>
    <mergeCell ref="H3:H4"/>
    <mergeCell ref="I3:J3"/>
    <mergeCell ref="A95:L95"/>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B96"/>
  <sheetViews>
    <sheetView workbookViewId="0"/>
  </sheetViews>
  <sheetFormatPr defaultRowHeight="15" outlineLevelRow="2" outlineLevelCol="1" x14ac:dyDescent="0.25"/>
  <cols>
    <col min="1" max="1" width="46.42578125" customWidth="1"/>
    <col min="2" max="2" width="13.28515625" style="121" customWidth="1" outlineLevel="1"/>
    <col min="3" max="3" width="10.28515625" style="121" customWidth="1" outlineLevel="1"/>
    <col min="4" max="4" width="10.85546875" style="121" customWidth="1" outlineLevel="1"/>
    <col min="5" max="5" width="11" style="121" customWidth="1" outlineLevel="1"/>
    <col min="6" max="6" width="15.42578125" style="121" customWidth="1"/>
    <col min="7" max="7" width="14.85546875" style="121" customWidth="1"/>
    <col min="8" max="8" width="11.140625" style="122" customWidth="1"/>
    <col min="9" max="11" width="12.28515625" customWidth="1"/>
    <col min="12" max="12" width="11.42578125" customWidth="1"/>
    <col min="13" max="13" width="11.42578125" style="123" customWidth="1"/>
    <col min="14" max="14" width="11.85546875" customWidth="1"/>
    <col min="17" max="17" width="12.42578125" customWidth="1"/>
  </cols>
  <sheetData>
    <row r="1" spans="1:17" s="126" customFormat="1" x14ac:dyDescent="0.25">
      <c r="A1" s="1" t="str">
        <f>"Updated on " &amp; TEXT(Updates!B2,"[$-0809]dd mmm yyyy")</f>
        <v>Updated on 11 Nov 2022</v>
      </c>
      <c r="B1" s="130"/>
      <c r="C1" s="130"/>
      <c r="D1" s="130"/>
      <c r="E1" s="130"/>
      <c r="F1" s="130"/>
      <c r="G1" s="130"/>
      <c r="H1" s="131"/>
      <c r="I1" s="132"/>
      <c r="J1" s="132"/>
      <c r="K1" s="132"/>
      <c r="L1" s="35"/>
      <c r="M1" s="133"/>
    </row>
    <row r="2" spans="1:17" ht="45" x14ac:dyDescent="0.25">
      <c r="A2" s="8" t="s">
        <v>80</v>
      </c>
      <c r="B2" s="9"/>
      <c r="C2" s="9"/>
      <c r="D2" s="9"/>
      <c r="E2" s="9"/>
      <c r="F2" s="9"/>
      <c r="G2" s="9"/>
      <c r="H2" s="9"/>
      <c r="I2" s="9"/>
      <c r="J2" s="9"/>
      <c r="K2" s="9"/>
      <c r="L2" s="5"/>
      <c r="M2" s="6"/>
    </row>
    <row r="3" spans="1:17" ht="44.25" customHeight="1" x14ac:dyDescent="0.25">
      <c r="A3" s="10" t="s">
        <v>106</v>
      </c>
      <c r="B3" s="305" t="s">
        <v>2</v>
      </c>
      <c r="C3" s="306"/>
      <c r="D3" s="306"/>
      <c r="E3" s="306"/>
      <c r="F3" s="306"/>
      <c r="G3" s="307"/>
      <c r="H3" s="308" t="s">
        <v>3</v>
      </c>
      <c r="I3" s="301" t="s">
        <v>4</v>
      </c>
      <c r="J3" s="302"/>
      <c r="K3" s="11"/>
      <c r="L3" s="12"/>
      <c r="M3" s="6"/>
    </row>
    <row r="4" spans="1:17" ht="50.25" customHeight="1" x14ac:dyDescent="0.25">
      <c r="A4" s="14" t="s">
        <v>6</v>
      </c>
      <c r="B4" s="15" t="s">
        <v>7</v>
      </c>
      <c r="C4" s="15" t="s">
        <v>8</v>
      </c>
      <c r="D4" s="16" t="s">
        <v>9</v>
      </c>
      <c r="E4" s="16" t="s">
        <v>10</v>
      </c>
      <c r="F4" s="16" t="s">
        <v>11</v>
      </c>
      <c r="G4" s="16" t="s">
        <v>12</v>
      </c>
      <c r="H4" s="309"/>
      <c r="I4" s="17" t="s">
        <v>13</v>
      </c>
      <c r="J4" s="17" t="s">
        <v>14</v>
      </c>
      <c r="K4" s="16" t="s">
        <v>15</v>
      </c>
      <c r="L4" s="15" t="s">
        <v>16</v>
      </c>
      <c r="M4" s="6"/>
    </row>
    <row r="5" spans="1:17" ht="10.5" customHeight="1" x14ac:dyDescent="0.25">
      <c r="A5" s="20"/>
      <c r="B5" s="21"/>
      <c r="C5" s="21"/>
      <c r="D5" s="21"/>
      <c r="E5" s="21"/>
      <c r="F5" s="22"/>
      <c r="G5" s="22"/>
      <c r="H5" s="23"/>
      <c r="I5" s="24"/>
      <c r="J5" s="25"/>
      <c r="K5" s="26"/>
      <c r="L5" s="26"/>
      <c r="M5" s="6"/>
    </row>
    <row r="6" spans="1:17" ht="36" customHeight="1" x14ac:dyDescent="0.25">
      <c r="A6" s="27" t="s">
        <v>18</v>
      </c>
      <c r="B6" s="28"/>
      <c r="C6" s="28"/>
      <c r="D6" s="28"/>
      <c r="E6" s="28"/>
      <c r="F6" s="29">
        <f>F9+F21+F27</f>
        <v>156.15617435355898</v>
      </c>
      <c r="G6" s="29">
        <f>G9+G21+G27</f>
        <v>140.8913263425668</v>
      </c>
      <c r="H6" s="30"/>
      <c r="I6" s="30">
        <f>I9+I21+I27</f>
        <v>15.604956245022031</v>
      </c>
      <c r="J6" s="30">
        <f>J9+J21+J27</f>
        <v>14.252978048379088</v>
      </c>
      <c r="K6" s="31">
        <f>J6/I6</f>
        <v>0.9133622564898749</v>
      </c>
      <c r="L6" s="31">
        <f>+I6/$I$89</f>
        <v>0.22075315134149917</v>
      </c>
      <c r="M6" s="6"/>
    </row>
    <row r="7" spans="1:17" ht="8.25" customHeight="1" x14ac:dyDescent="0.25">
      <c r="A7" s="20"/>
      <c r="B7" s="21"/>
      <c r="C7" s="21"/>
      <c r="D7" s="21"/>
      <c r="E7" s="21"/>
      <c r="F7" s="22"/>
      <c r="G7" s="22"/>
      <c r="H7" s="23"/>
      <c r="I7" s="24"/>
      <c r="J7" s="25"/>
      <c r="K7" s="26"/>
      <c r="L7" s="26"/>
      <c r="M7" s="6"/>
    </row>
    <row r="8" spans="1:17" ht="8.25" hidden="1" customHeight="1" x14ac:dyDescent="0.25">
      <c r="A8" s="38"/>
      <c r="B8" s="39"/>
      <c r="C8" s="39"/>
      <c r="D8" s="39"/>
      <c r="E8" s="39"/>
      <c r="F8" s="40"/>
      <c r="G8" s="40"/>
      <c r="H8" s="41"/>
      <c r="I8" s="42"/>
      <c r="J8" s="43"/>
      <c r="K8" s="44"/>
      <c r="L8" s="45"/>
      <c r="M8" s="6"/>
    </row>
    <row r="9" spans="1:17" ht="22.5" customHeight="1" outlineLevel="1" x14ac:dyDescent="0.25">
      <c r="A9" s="48" t="s">
        <v>83</v>
      </c>
      <c r="B9" s="49">
        <f>SUM(B11:B19)</f>
        <v>283.47058451299995</v>
      </c>
      <c r="C9" s="49">
        <f t="shared" ref="C9:J9" si="0">SUM(C11:C19)</f>
        <v>19.239849708999998</v>
      </c>
      <c r="D9" s="49">
        <f t="shared" si="0"/>
        <v>45.962459535999997</v>
      </c>
      <c r="E9" s="49">
        <f t="shared" si="0"/>
        <v>256.74797468600002</v>
      </c>
      <c r="F9" s="49">
        <f t="shared" si="0"/>
        <v>152.67397329073418</v>
      </c>
      <c r="G9" s="49">
        <f t="shared" si="0"/>
        <v>137.79605474450301</v>
      </c>
      <c r="H9" s="50"/>
      <c r="I9" s="50">
        <f t="shared" si="0"/>
        <v>14.668471011980767</v>
      </c>
      <c r="J9" s="50">
        <f t="shared" si="0"/>
        <v>13.416649513301699</v>
      </c>
      <c r="K9" s="51">
        <f>J9/I9</f>
        <v>0.91465903312917773</v>
      </c>
      <c r="L9" s="51">
        <f>+I9/$I$89</f>
        <v>0.20750530475144002</v>
      </c>
      <c r="M9" s="6"/>
      <c r="N9" s="52"/>
      <c r="O9" s="52"/>
      <c r="P9" s="52"/>
      <c r="Q9" s="52"/>
    </row>
    <row r="10" spans="1:17" ht="15" customHeight="1" outlineLevel="1" x14ac:dyDescent="0.25">
      <c r="A10" s="20"/>
      <c r="B10" s="21"/>
      <c r="C10" s="21"/>
      <c r="D10" s="21"/>
      <c r="E10" s="21"/>
      <c r="F10" s="22"/>
      <c r="G10" s="22"/>
      <c r="H10" s="23"/>
      <c r="I10" s="24"/>
      <c r="J10" s="25"/>
      <c r="K10" s="26"/>
      <c r="L10" s="26"/>
      <c r="M10" s="6"/>
      <c r="N10" s="52"/>
      <c r="O10" s="52"/>
      <c r="P10" s="52"/>
      <c r="Q10" s="52"/>
    </row>
    <row r="11" spans="1:17" ht="15" customHeight="1" outlineLevel="1" x14ac:dyDescent="0.25">
      <c r="A11" s="55" t="str">
        <f>+'data from cereal masterfile'!A3</f>
        <v>Common  wheat</v>
      </c>
      <c r="B11" s="56">
        <f>+'data from cereal masterfile'!D3</f>
        <v>123.330489766</v>
      </c>
      <c r="C11" s="56">
        <f>+'data from cereal masterfile'!D15</f>
        <v>1.83109929</v>
      </c>
      <c r="D11" s="56">
        <f>+'data from cereal masterfile'!D27</f>
        <v>31.701127426999999</v>
      </c>
      <c r="E11" s="56">
        <f>+B11+C11-D11</f>
        <v>93.460461628999994</v>
      </c>
      <c r="F11" s="56">
        <f>+'data from cereal masterfile'!D39</f>
        <v>36.177502201735543</v>
      </c>
      <c r="G11" s="56">
        <f>IF(B11&gt;E11,F11,F11*B11/E11)-C11</f>
        <v>34.346402911735545</v>
      </c>
      <c r="H11" s="57">
        <v>0.11</v>
      </c>
      <c r="I11" s="58">
        <f>F11*H11</f>
        <v>3.9795252421909098</v>
      </c>
      <c r="J11" s="58">
        <f>G11*H11</f>
        <v>3.7781043202909101</v>
      </c>
      <c r="K11" s="26"/>
      <c r="L11" s="26"/>
      <c r="M11" s="6">
        <f>+IF(H11&lt;15%,1,IF(H11&lt;30%,2,IF(H11&lt;50%,3,4)))</f>
        <v>1</v>
      </c>
      <c r="N11" s="73"/>
      <c r="O11" s="72"/>
      <c r="P11" s="52"/>
      <c r="Q11" s="52"/>
    </row>
    <row r="12" spans="1:17" ht="15" customHeight="1" outlineLevel="1" x14ac:dyDescent="0.25">
      <c r="A12" s="55" t="str">
        <f>+'data from cereal masterfile'!A4</f>
        <v>Barley</v>
      </c>
      <c r="B12" s="56">
        <f>+'data from cereal masterfile'!D4</f>
        <v>52.313671724999985</v>
      </c>
      <c r="C12" s="56">
        <f>+'data from cereal masterfile'!D16</f>
        <v>0.68743300899999993</v>
      </c>
      <c r="D12" s="56">
        <f>+'data from cereal masterfile'!D28</f>
        <v>8.3309971269999998</v>
      </c>
      <c r="E12" s="56">
        <f t="shared" ref="E12:E19" si="1">+B12+C12-D12</f>
        <v>44.670107606999991</v>
      </c>
      <c r="F12" s="56">
        <f>+'data from cereal masterfile'!D40</f>
        <v>32.636605000000003</v>
      </c>
      <c r="G12" s="56">
        <f>IF(B12&gt;E12,F12,F12*B12/E12)</f>
        <v>32.636605000000003</v>
      </c>
      <c r="H12" s="57">
        <v>0.1</v>
      </c>
      <c r="I12" s="58">
        <f t="shared" ref="I12:I19" si="2">F12*H12</f>
        <v>3.2636605000000003</v>
      </c>
      <c r="J12" s="58">
        <f t="shared" ref="J12:J19" si="3">G12*H12</f>
        <v>3.2636605000000003</v>
      </c>
      <c r="K12" s="26"/>
      <c r="L12" s="26"/>
      <c r="M12" s="6">
        <f t="shared" ref="M12:M19" si="4">+IF(H12&lt;15%,1,IF(H12&lt;30%,2,IF(H12&lt;50%,3,4)))</f>
        <v>1</v>
      </c>
      <c r="N12" s="73"/>
      <c r="O12" s="72"/>
      <c r="P12" s="52"/>
      <c r="Q12" s="52"/>
    </row>
    <row r="13" spans="1:17" ht="15" customHeight="1" outlineLevel="1" x14ac:dyDescent="0.25">
      <c r="A13" s="55" t="str">
        <f>+'data from cereal masterfile'!A5</f>
        <v>Durum</v>
      </c>
      <c r="B13" s="56">
        <f>+'data from cereal masterfile'!D5</f>
        <v>7.95397</v>
      </c>
      <c r="C13" s="56">
        <f>+'data from cereal masterfile'!D17</f>
        <v>2.0194141340000002</v>
      </c>
      <c r="D13" s="56">
        <f>+'data from cereal masterfile'!D29</f>
        <v>1.1912133770000002</v>
      </c>
      <c r="E13" s="56">
        <f t="shared" si="1"/>
        <v>8.7821707569999994</v>
      </c>
      <c r="F13" s="56">
        <f>+'data from cereal masterfile'!D41</f>
        <v>0.1</v>
      </c>
      <c r="G13" s="56">
        <f>IF(B13&gt;E13,F13,F13*B13/E13)</f>
        <v>9.0569521136447215E-2</v>
      </c>
      <c r="H13" s="57">
        <v>0.12</v>
      </c>
      <c r="I13" s="58">
        <f t="shared" si="2"/>
        <v>1.2E-2</v>
      </c>
      <c r="J13" s="58">
        <f t="shared" si="3"/>
        <v>1.0868342536373666E-2</v>
      </c>
      <c r="K13" s="26"/>
      <c r="L13" s="26"/>
      <c r="M13" s="6">
        <f t="shared" si="4"/>
        <v>1</v>
      </c>
      <c r="N13" s="73"/>
      <c r="O13" s="72"/>
      <c r="P13" s="52"/>
      <c r="Q13" s="52"/>
    </row>
    <row r="14" spans="1:17" ht="15" customHeight="1" outlineLevel="1" x14ac:dyDescent="0.25">
      <c r="A14" s="55" t="str">
        <f>+'data from cereal masterfile'!A6</f>
        <v>Maize</v>
      </c>
      <c r="B14" s="56">
        <f>+'data from cereal masterfile'!D6</f>
        <v>66.691803022000002</v>
      </c>
      <c r="C14" s="56">
        <f>+'data from cereal masterfile'!D18</f>
        <v>14.253475785000001</v>
      </c>
      <c r="D14" s="56">
        <f>+'data from cereal masterfile'!D30</f>
        <v>4.1714026899999999</v>
      </c>
      <c r="E14" s="56">
        <f t="shared" si="1"/>
        <v>76.773876117000015</v>
      </c>
      <c r="F14" s="56">
        <f>+'data from cereal masterfile'!D42</f>
        <v>60.010000000000005</v>
      </c>
      <c r="G14" s="56">
        <f>F14-C14*0.9</f>
        <v>47.181871793500008</v>
      </c>
      <c r="H14" s="57">
        <v>0.08</v>
      </c>
      <c r="I14" s="58">
        <f t="shared" si="2"/>
        <v>4.8008000000000006</v>
      </c>
      <c r="J14" s="58">
        <f t="shared" si="3"/>
        <v>3.7745497434800006</v>
      </c>
      <c r="K14" s="26"/>
      <c r="L14" s="26"/>
      <c r="M14" s="6">
        <f t="shared" si="4"/>
        <v>1</v>
      </c>
      <c r="N14" s="73"/>
      <c r="O14" s="72"/>
      <c r="P14" s="52"/>
      <c r="Q14" s="52"/>
    </row>
    <row r="15" spans="1:17" ht="15" customHeight="1" outlineLevel="1" x14ac:dyDescent="0.25">
      <c r="A15" s="55" t="str">
        <f>+'data from cereal masterfile'!A7</f>
        <v>Rye</v>
      </c>
      <c r="B15" s="56">
        <f>+'data from cereal masterfile'!D7</f>
        <v>10.216767329791898</v>
      </c>
      <c r="C15" s="56">
        <f>+'data from cereal masterfile'!D19</f>
        <v>7.6745898000000007E-2</v>
      </c>
      <c r="D15" s="56">
        <f>+'data from cereal masterfile'!D31</f>
        <v>0.18625950499999999</v>
      </c>
      <c r="E15" s="56">
        <f t="shared" si="1"/>
        <v>10.107253722791897</v>
      </c>
      <c r="F15" s="56">
        <f>+'data from cereal masterfile'!D43</f>
        <v>4.1912703558745141</v>
      </c>
      <c r="G15" s="56">
        <f>IF(B15&gt;E15,F15,F15*B15/(B15+C15-D15))</f>
        <v>4.1912703558745141</v>
      </c>
      <c r="H15" s="57">
        <v>0.11</v>
      </c>
      <c r="I15" s="58">
        <f t="shared" si="2"/>
        <v>0.46103973914619656</v>
      </c>
      <c r="J15" s="58">
        <f t="shared" si="3"/>
        <v>0.46103973914619656</v>
      </c>
      <c r="K15" s="26"/>
      <c r="L15" s="26"/>
      <c r="M15" s="6">
        <f t="shared" si="4"/>
        <v>1</v>
      </c>
      <c r="N15" s="73"/>
      <c r="O15" s="72"/>
      <c r="P15" s="52"/>
      <c r="Q15" s="52"/>
    </row>
    <row r="16" spans="1:17" ht="15" customHeight="1" outlineLevel="1" x14ac:dyDescent="0.25">
      <c r="A16" s="55" t="str">
        <f>+'data from cereal masterfile'!A8</f>
        <v>Sorghum</v>
      </c>
      <c r="B16" s="56">
        <f>+'data from cereal masterfile'!D8</f>
        <v>0.62912000000000012</v>
      </c>
      <c r="C16" s="56">
        <f>+'data from cereal masterfile'!D20</f>
        <v>0.19059023</v>
      </c>
      <c r="D16" s="56">
        <f>+'data from cereal masterfile'!D32</f>
        <v>1.1886413E-2</v>
      </c>
      <c r="E16" s="56">
        <f t="shared" si="1"/>
        <v>0.80782381700000006</v>
      </c>
      <c r="F16" s="56">
        <f>+'data from cereal masterfile'!D44</f>
        <v>0.47714642590455503</v>
      </c>
      <c r="G16" s="56">
        <f>IF(B16&gt;E16,F16,F16*B16/(B16+C16-D16))</f>
        <v>0.37159384651452249</v>
      </c>
      <c r="H16" s="57">
        <v>0.11</v>
      </c>
      <c r="I16" s="58">
        <f t="shared" si="2"/>
        <v>5.248610684950105E-2</v>
      </c>
      <c r="J16" s="58">
        <f t="shared" si="3"/>
        <v>4.0875323116597473E-2</v>
      </c>
      <c r="K16" s="26"/>
      <c r="L16" s="26"/>
      <c r="M16" s="6">
        <f t="shared" si="4"/>
        <v>1</v>
      </c>
      <c r="N16" s="73"/>
      <c r="O16" s="72"/>
      <c r="P16" s="52"/>
      <c r="Q16" s="52"/>
    </row>
    <row r="17" spans="1:17" ht="15" customHeight="1" outlineLevel="1" x14ac:dyDescent="0.25">
      <c r="A17" s="55" t="str">
        <f>+'data from cereal masterfile'!A9</f>
        <v>Oats</v>
      </c>
      <c r="B17" s="56">
        <f>+'data from cereal masterfile'!D9</f>
        <v>7.3321199999999997</v>
      </c>
      <c r="C17" s="56">
        <f>+'data from cereal masterfile'!D21</f>
        <v>4.6077105E-2</v>
      </c>
      <c r="D17" s="56">
        <f>+'data from cereal masterfile'!D33</f>
        <v>0.354009672</v>
      </c>
      <c r="E17" s="56">
        <f t="shared" si="1"/>
        <v>7.0241874329999998</v>
      </c>
      <c r="F17" s="56">
        <f>+'data from cereal masterfile'!D45</f>
        <v>5.5517220730537664</v>
      </c>
      <c r="G17" s="56">
        <f>IF(B17&gt;E17,F17,F17*B17/(B17+C17-D17))</f>
        <v>5.5517220730537664</v>
      </c>
      <c r="H17" s="57">
        <v>0.11</v>
      </c>
      <c r="I17" s="58">
        <f t="shared" si="2"/>
        <v>0.61068942803591431</v>
      </c>
      <c r="J17" s="58">
        <f t="shared" si="3"/>
        <v>0.61068942803591431</v>
      </c>
      <c r="K17" s="26"/>
      <c r="L17" s="26"/>
      <c r="M17" s="6">
        <f t="shared" si="4"/>
        <v>1</v>
      </c>
      <c r="N17" s="73"/>
      <c r="O17" s="72"/>
      <c r="P17" s="52"/>
      <c r="Q17" s="52"/>
    </row>
    <row r="18" spans="1:17" ht="15" customHeight="1" outlineLevel="1" x14ac:dyDescent="0.25">
      <c r="A18" s="55" t="str">
        <f>+'data from cereal masterfile'!A10</f>
        <v>Triticale</v>
      </c>
      <c r="B18" s="56">
        <f>+'data from cereal masterfile'!D10</f>
        <v>11.220780000000001</v>
      </c>
      <c r="C18" s="56">
        <f>+'data from cereal masterfile'!D22</f>
        <v>3.6230799999999999E-4</v>
      </c>
      <c r="D18" s="56">
        <f>+'data from cereal masterfile'!D34</f>
        <v>2.4817480000000002E-3</v>
      </c>
      <c r="E18" s="56">
        <f t="shared" si="1"/>
        <v>11.218660560000002</v>
      </c>
      <c r="F18" s="56">
        <f>+'data from cereal masterfile'!D46</f>
        <v>10.199827104809779</v>
      </c>
      <c r="G18" s="56">
        <f>IF(B18&gt;E18,F18,F18*B18/(B18+C18-D18))</f>
        <v>10.199827104809779</v>
      </c>
      <c r="H18" s="57">
        <v>0.11</v>
      </c>
      <c r="I18" s="58">
        <f t="shared" si="2"/>
        <v>1.1219809815290758</v>
      </c>
      <c r="J18" s="58">
        <f t="shared" si="3"/>
        <v>1.1219809815290758</v>
      </c>
      <c r="K18" s="26"/>
      <c r="L18" s="26"/>
      <c r="M18" s="6">
        <f t="shared" si="4"/>
        <v>1</v>
      </c>
      <c r="N18" s="73"/>
      <c r="O18" s="72"/>
      <c r="P18" s="52"/>
      <c r="Q18" s="52"/>
    </row>
    <row r="19" spans="1:17" ht="15" customHeight="1" outlineLevel="1" x14ac:dyDescent="0.25">
      <c r="A19" s="55" t="str">
        <f>+'data from cereal masterfile'!A11</f>
        <v>Others</v>
      </c>
      <c r="B19" s="56">
        <f>+'data from cereal masterfile'!D11</f>
        <v>3.7818626702081017</v>
      </c>
      <c r="C19" s="56">
        <f>+'data from cereal masterfile'!D23</f>
        <v>0.13465195000000002</v>
      </c>
      <c r="D19" s="56">
        <f>+'data from cereal masterfile'!D35</f>
        <v>1.3081576999999999E-2</v>
      </c>
      <c r="E19" s="56">
        <f t="shared" si="1"/>
        <v>3.9034330432081017</v>
      </c>
      <c r="F19" s="56">
        <f>+'data from cereal masterfile'!D47</f>
        <v>3.3299001293560808</v>
      </c>
      <c r="G19" s="56">
        <f>IF(B19&gt;E19,F19,F19*B19/(B19+C19-D19))</f>
        <v>3.2261921378784399</v>
      </c>
      <c r="H19" s="57">
        <v>0.11</v>
      </c>
      <c r="I19" s="58">
        <f t="shared" si="2"/>
        <v>0.36628901422916887</v>
      </c>
      <c r="J19" s="58">
        <f t="shared" si="3"/>
        <v>0.35488113516662839</v>
      </c>
      <c r="K19" s="26"/>
      <c r="L19" s="26"/>
      <c r="M19" s="6">
        <f t="shared" si="4"/>
        <v>1</v>
      </c>
      <c r="N19" s="73"/>
      <c r="O19" s="72"/>
      <c r="P19" s="52"/>
      <c r="Q19" s="52"/>
    </row>
    <row r="20" spans="1:17" ht="12.75" customHeight="1" outlineLevel="1" x14ac:dyDescent="0.25">
      <c r="A20" s="20"/>
      <c r="B20" s="21"/>
      <c r="C20" s="21"/>
      <c r="D20" s="21"/>
      <c r="E20" s="21"/>
      <c r="F20" s="22"/>
      <c r="G20" s="22"/>
      <c r="H20" s="23"/>
      <c r="I20" s="24"/>
      <c r="J20" s="25"/>
      <c r="K20" s="26"/>
      <c r="L20" s="26"/>
      <c r="M20" s="6"/>
      <c r="N20" s="52"/>
      <c r="O20" s="52"/>
      <c r="P20" s="52"/>
      <c r="Q20" s="52"/>
    </row>
    <row r="21" spans="1:17" ht="22.5" customHeight="1" outlineLevel="1" x14ac:dyDescent="0.25">
      <c r="A21" s="48" t="s">
        <v>84</v>
      </c>
      <c r="B21" s="49">
        <f t="shared" ref="B21:G21" si="5">SUM(B23:B25)</f>
        <v>29.335569999999997</v>
      </c>
      <c r="C21" s="49">
        <f t="shared" si="5"/>
        <v>16.928681208</v>
      </c>
      <c r="D21" s="49">
        <f t="shared" si="5"/>
        <v>1.1864511580000001</v>
      </c>
      <c r="E21" s="49">
        <f t="shared" si="5"/>
        <v>45.077800049999993</v>
      </c>
      <c r="F21" s="49">
        <f t="shared" si="5"/>
        <v>1.5738679999999998</v>
      </c>
      <c r="G21" s="49">
        <f t="shared" si="5"/>
        <v>1.5738679999999998</v>
      </c>
      <c r="H21" s="50"/>
      <c r="I21" s="50">
        <f>SUM(I23:I25)</f>
        <v>0.45889250898</v>
      </c>
      <c r="J21" s="50">
        <f>SUM(J23:J25)</f>
        <v>0.45889250898</v>
      </c>
      <c r="K21" s="51">
        <f>J21/I21</f>
        <v>1</v>
      </c>
      <c r="L21" s="51">
        <f>+I21/$I$89</f>
        <v>6.4916534140656412E-3</v>
      </c>
      <c r="M21" s="6"/>
      <c r="N21" s="52"/>
      <c r="O21" s="52"/>
      <c r="P21" s="52"/>
      <c r="Q21" s="52"/>
    </row>
    <row r="22" spans="1:17" ht="15" customHeight="1" outlineLevel="1" x14ac:dyDescent="0.25">
      <c r="A22" s="20" t="s">
        <v>85</v>
      </c>
      <c r="B22" s="21"/>
      <c r="C22" s="21"/>
      <c r="D22" s="21"/>
      <c r="E22" s="21"/>
      <c r="F22" s="22"/>
      <c r="G22" s="22"/>
      <c r="H22" s="23"/>
      <c r="I22" s="24"/>
      <c r="J22" s="25"/>
      <c r="K22" s="26"/>
      <c r="L22" s="26"/>
      <c r="M22" s="6"/>
      <c r="N22" s="52"/>
      <c r="O22" s="52"/>
      <c r="P22" s="52"/>
      <c r="Q22" s="52"/>
    </row>
    <row r="23" spans="1:17" ht="15" customHeight="1" outlineLevel="1" x14ac:dyDescent="0.25">
      <c r="A23" s="55" t="s">
        <v>22</v>
      </c>
      <c r="B23" s="56">
        <f>+'data from oilseed masterfile'!R4</f>
        <v>1.2156800000000001</v>
      </c>
      <c r="C23" s="56">
        <f>+'data from oilseed masterfile'!R12</f>
        <v>12.930475745999999</v>
      </c>
      <c r="D23" s="56">
        <f>+'data from oilseed masterfile'!R16</f>
        <v>8.1187071E-2</v>
      </c>
      <c r="E23" s="56">
        <f>+B23+C23-D23</f>
        <v>14.064968674999999</v>
      </c>
      <c r="F23" s="56">
        <v>1.2</v>
      </c>
      <c r="G23" s="56">
        <f>F23</f>
        <v>1.2</v>
      </c>
      <c r="H23" s="61">
        <v>0.33</v>
      </c>
      <c r="I23" s="58">
        <f>F23*H23</f>
        <v>0.39600000000000002</v>
      </c>
      <c r="J23" s="58">
        <f>G23*H23</f>
        <v>0.39600000000000002</v>
      </c>
      <c r="K23" s="26"/>
      <c r="L23" s="26"/>
      <c r="M23" s="6">
        <f>+IF(H23&lt;15%,1,IF(H23&lt;30%,2,IF(H23&lt;50%,3,4)))</f>
        <v>3</v>
      </c>
      <c r="N23" s="52"/>
      <c r="O23" s="52"/>
      <c r="P23" s="52"/>
      <c r="Q23" s="52"/>
    </row>
    <row r="24" spans="1:17" ht="15" customHeight="1" outlineLevel="1" x14ac:dyDescent="0.25">
      <c r="A24" s="55" t="s">
        <v>23</v>
      </c>
      <c r="B24" s="56">
        <f>+'data from oilseed masterfile'!R5</f>
        <v>18.852979999999999</v>
      </c>
      <c r="C24" s="56">
        <f>+'data from oilseed masterfile'!R13</f>
        <v>3.6562626399999996</v>
      </c>
      <c r="D24" s="56">
        <f>+'data from oilseed masterfile'!R17</f>
        <v>0.31292377200000004</v>
      </c>
      <c r="E24" s="56">
        <f>+B24+C24-D24</f>
        <v>22.196318867999995</v>
      </c>
      <c r="F24" s="56">
        <f>+B24*1%</f>
        <v>0.1885298</v>
      </c>
      <c r="G24" s="56">
        <f>F24</f>
        <v>0.1885298</v>
      </c>
      <c r="H24" s="62">
        <f>H47*0.57</f>
        <v>0.18809999999999999</v>
      </c>
      <c r="I24" s="58">
        <f>F24*H24</f>
        <v>3.5462455380000001E-2</v>
      </c>
      <c r="J24" s="58">
        <f>G24*H24</f>
        <v>3.5462455380000001E-2</v>
      </c>
      <c r="K24" s="26"/>
      <c r="L24" s="26"/>
      <c r="M24" s="6">
        <f>+IF(H24&lt;15%,1,IF(H24&lt;30%,2,IF(H24&lt;50%,3,4)))</f>
        <v>2</v>
      </c>
      <c r="N24" s="52"/>
      <c r="O24" s="52"/>
      <c r="P24" s="52"/>
      <c r="Q24" s="52"/>
    </row>
    <row r="25" spans="1:17" ht="15" customHeight="1" outlineLevel="1" x14ac:dyDescent="0.25">
      <c r="A25" s="55" t="s">
        <v>24</v>
      </c>
      <c r="B25" s="56">
        <f>+'data from oilseed masterfile'!R6</f>
        <v>9.2669099999999993</v>
      </c>
      <c r="C25" s="56">
        <f>+'data from oilseed masterfile'!R14</f>
        <v>0.34194282199999998</v>
      </c>
      <c r="D25" s="56">
        <f>+'data from oilseed masterfile'!R18</f>
        <v>0.79234031500000002</v>
      </c>
      <c r="E25" s="56">
        <f>+B25+C25-D25</f>
        <v>8.8165125069999988</v>
      </c>
      <c r="F25" s="56">
        <f>+B25*2%</f>
        <v>0.18533819999999998</v>
      </c>
      <c r="G25" s="56">
        <f>F25</f>
        <v>0.18533819999999998</v>
      </c>
      <c r="H25" s="57">
        <v>0.14799999999999999</v>
      </c>
      <c r="I25" s="58">
        <f>F25*H25</f>
        <v>2.7430053599999997E-2</v>
      </c>
      <c r="J25" s="58">
        <f>G25*H25</f>
        <v>2.7430053599999997E-2</v>
      </c>
      <c r="K25" s="26"/>
      <c r="L25" s="26"/>
      <c r="M25" s="6">
        <f>+IF(H25&lt;15%,1,IF(H25&lt;30%,2,IF(H25&lt;50%,3,4)))</f>
        <v>1</v>
      </c>
      <c r="N25" s="52"/>
      <c r="O25" s="52"/>
      <c r="P25" s="52"/>
      <c r="Q25" s="52"/>
    </row>
    <row r="26" spans="1:17" ht="12.75" customHeight="1" outlineLevel="1" x14ac:dyDescent="0.25">
      <c r="A26" s="20"/>
      <c r="B26" s="21"/>
      <c r="C26" s="21"/>
      <c r="D26" s="21"/>
      <c r="E26" s="21"/>
      <c r="F26" s="22"/>
      <c r="G26" s="22"/>
      <c r="H26" s="23"/>
      <c r="I26" s="24"/>
      <c r="J26" s="25"/>
      <c r="K26" s="26"/>
      <c r="L26" s="26"/>
      <c r="M26" s="6"/>
      <c r="N26" s="52"/>
      <c r="O26" s="52"/>
      <c r="P26" s="52"/>
      <c r="Q26" s="52"/>
    </row>
    <row r="27" spans="1:17" ht="20.25" customHeight="1" outlineLevel="1" x14ac:dyDescent="0.25">
      <c r="A27" s="48" t="s">
        <v>86</v>
      </c>
      <c r="B27" s="49">
        <f t="shared" ref="B27:G27" si="6">SUM(B29:B32)</f>
        <v>2.646989085</v>
      </c>
      <c r="C27" s="49">
        <f t="shared" si="6"/>
        <v>0.92706</v>
      </c>
      <c r="D27" s="49">
        <f t="shared" si="6"/>
        <v>0.26808599999999999</v>
      </c>
      <c r="E27" s="49">
        <f t="shared" si="6"/>
        <v>3.3059630850000001</v>
      </c>
      <c r="F27" s="49">
        <f t="shared" si="6"/>
        <v>1.9083330628248041</v>
      </c>
      <c r="G27" s="49">
        <f t="shared" si="6"/>
        <v>1.521403598063771</v>
      </c>
      <c r="H27" s="50"/>
      <c r="I27" s="50">
        <f>SUM(I29:I32)</f>
        <v>0.47759272406126357</v>
      </c>
      <c r="J27" s="50">
        <f>SUM(J29:J32)</f>
        <v>0.37743602609738852</v>
      </c>
      <c r="K27" s="51">
        <f>J27/I27</f>
        <v>0.79028847610537012</v>
      </c>
      <c r="L27" s="51">
        <f>+I27/$I$89</f>
        <v>6.7561931759934982E-3</v>
      </c>
      <c r="M27" s="6"/>
      <c r="N27" s="52"/>
      <c r="O27" s="52"/>
      <c r="P27" s="52"/>
      <c r="Q27" s="52"/>
    </row>
    <row r="28" spans="1:17" ht="15.75" customHeight="1" outlineLevel="1" x14ac:dyDescent="0.25">
      <c r="A28" s="20"/>
      <c r="B28" s="21"/>
      <c r="C28" s="21"/>
      <c r="D28" s="21"/>
      <c r="E28" s="21"/>
      <c r="F28" s="22"/>
      <c r="G28" s="22"/>
      <c r="H28" s="23"/>
      <c r="I28" s="24"/>
      <c r="J28" s="25"/>
      <c r="K28" s="26"/>
      <c r="L28" s="26"/>
      <c r="M28" s="6"/>
      <c r="N28" s="52"/>
      <c r="O28" s="52"/>
      <c r="P28" s="52"/>
      <c r="Q28" s="52"/>
    </row>
    <row r="29" spans="1:17" ht="15" customHeight="1" outlineLevel="1" x14ac:dyDescent="0.25">
      <c r="A29" s="55" t="s">
        <v>87</v>
      </c>
      <c r="B29" s="56">
        <f>'data from protein balance sheet'!D4</f>
        <v>1.1753</v>
      </c>
      <c r="C29" s="56">
        <f>'data from protein balance sheet'!D20</f>
        <v>0.18913839999999998</v>
      </c>
      <c r="D29" s="56">
        <f>'data from protein balance sheet'!D28</f>
        <v>8.8615899999999997E-2</v>
      </c>
      <c r="E29" s="56">
        <f>'data from protein balance sheet'!D12</f>
        <v>1.2758225000000001</v>
      </c>
      <c r="F29" s="56">
        <f>'data from protein balance sheet'!D36</f>
        <v>0.90016010820652559</v>
      </c>
      <c r="G29" s="56">
        <f>IF(B29&gt;E29,F29,F29*B29/E29)</f>
        <v>0.82923617915119807</v>
      </c>
      <c r="H29" s="63">
        <v>0.22500000000000001</v>
      </c>
      <c r="I29" s="58">
        <f>F29*H29</f>
        <v>0.20253602434646825</v>
      </c>
      <c r="J29" s="58">
        <f>G29*H29</f>
        <v>0.18657814030901956</v>
      </c>
      <c r="K29" s="26"/>
      <c r="L29" s="26"/>
      <c r="M29" s="6">
        <f>+IF(H29&lt;15%,1,IF(H29&lt;30%,2,IF(H29&lt;50%,3,4)))</f>
        <v>2</v>
      </c>
      <c r="N29" s="52"/>
      <c r="O29" s="52"/>
      <c r="P29" s="52"/>
      <c r="Q29" s="52"/>
    </row>
    <row r="30" spans="1:17" ht="15" customHeight="1" outlineLevel="1" x14ac:dyDescent="0.25">
      <c r="A30" s="55" t="s">
        <v>27</v>
      </c>
      <c r="B30" s="56">
        <f>'data from protein balance sheet'!D5</f>
        <v>0.63252999999999993</v>
      </c>
      <c r="C30" s="56">
        <f>'data from protein balance sheet'!D21</f>
        <v>2.0956900000000001E-2</v>
      </c>
      <c r="D30" s="56">
        <f>'data from protein balance sheet'!D29</f>
        <v>0.14407389999999998</v>
      </c>
      <c r="E30" s="56">
        <f>'data from protein balance sheet'!D13</f>
        <v>0.50941299999999989</v>
      </c>
      <c r="F30" s="56">
        <f>'data from protein balance sheet'!D37</f>
        <v>0.25140310602256832</v>
      </c>
      <c r="G30" s="56">
        <f>IF(B30&gt;E30,F30,F30*B30/E30)</f>
        <v>0.25140310602256832</v>
      </c>
      <c r="H30" s="63">
        <v>0.26</v>
      </c>
      <c r="I30" s="58">
        <f>F30*H30</f>
        <v>6.5364807565867766E-2</v>
      </c>
      <c r="J30" s="58">
        <f>G30*H30</f>
        <v>6.5364807565867766E-2</v>
      </c>
      <c r="K30" s="26"/>
      <c r="L30" s="26"/>
      <c r="M30" s="6">
        <f>+IF(H30&lt;15%,1,IF(H30&lt;30%,2,IF(H30&lt;50%,3,4)))</f>
        <v>2</v>
      </c>
      <c r="N30" s="52"/>
      <c r="O30" s="52"/>
      <c r="P30" s="52"/>
      <c r="Q30" s="52"/>
    </row>
    <row r="31" spans="1:17" ht="15" customHeight="1" outlineLevel="1" x14ac:dyDescent="0.25">
      <c r="A31" s="55" t="s">
        <v>28</v>
      </c>
      <c r="B31" s="56">
        <f>'data from protein balance sheet'!D7</f>
        <v>0.15301999999999999</v>
      </c>
      <c r="C31" s="56">
        <f>'data from protein balance sheet'!D23</f>
        <v>5.2287799999999988E-2</v>
      </c>
      <c r="D31" s="56">
        <f>'data from protein balance sheet'!D31</f>
        <v>3.1349999999999998E-4</v>
      </c>
      <c r="E31" s="56">
        <f>'data from protein balance sheet'!D15</f>
        <v>0.20499429999999999</v>
      </c>
      <c r="F31" s="56">
        <f>'data from protein balance sheet'!D39</f>
        <v>0.20499429999999999</v>
      </c>
      <c r="G31" s="56">
        <f>IF(B31&gt;E31,F31,F31*B31/E31)</f>
        <v>0.15302000000000002</v>
      </c>
      <c r="H31" s="61">
        <v>0.35</v>
      </c>
      <c r="I31" s="58">
        <f>F31*H31</f>
        <v>7.174800499999999E-2</v>
      </c>
      <c r="J31" s="58">
        <f>G31*H31</f>
        <v>5.3557E-2</v>
      </c>
      <c r="K31" s="26"/>
      <c r="L31" s="26"/>
      <c r="M31" s="6">
        <f>+IF(H31&lt;15%,1,IF(H31&lt;30%,2,IF(H31&lt;50%,3,4)))</f>
        <v>3</v>
      </c>
      <c r="N31" s="52"/>
      <c r="O31" s="52"/>
      <c r="P31" s="52"/>
      <c r="Q31" s="52"/>
    </row>
    <row r="32" spans="1:17" ht="15" customHeight="1" outlineLevel="1" x14ac:dyDescent="0.25">
      <c r="A32" s="55" t="s">
        <v>29</v>
      </c>
      <c r="B32" s="56">
        <f>'data from protein balance sheet'!D9</f>
        <v>0.68613908499999987</v>
      </c>
      <c r="C32" s="56">
        <f>'data from protein balance sheet'!D25</f>
        <v>0.66467690000000001</v>
      </c>
      <c r="D32" s="56">
        <f>'data from protein balance sheet'!D33</f>
        <v>3.5082700000000001E-2</v>
      </c>
      <c r="E32" s="56">
        <f>'data from protein balance sheet'!D17</f>
        <v>1.3157332849999999</v>
      </c>
      <c r="F32" s="56">
        <f>'data from protein balance sheet'!D41</f>
        <v>0.5517755485957101</v>
      </c>
      <c r="G32" s="56">
        <f>IF(B32&gt;E32,F32,F32*B32/E32)</f>
        <v>0.28774431289000457</v>
      </c>
      <c r="H32" s="63">
        <v>0.25</v>
      </c>
      <c r="I32" s="58">
        <f>F32*H32</f>
        <v>0.13794388714892752</v>
      </c>
      <c r="J32" s="58">
        <f>G32*H32</f>
        <v>7.1936078222501143E-2</v>
      </c>
      <c r="K32" s="26"/>
      <c r="L32" s="26"/>
      <c r="M32" s="6">
        <f>+IF(H32&lt;15%,1,IF(H32&lt;30%,2,IF(H32&lt;50%,3,4)))</f>
        <v>2</v>
      </c>
      <c r="N32" s="52"/>
      <c r="O32" s="52"/>
      <c r="P32" s="52"/>
      <c r="Q32" s="52"/>
    </row>
    <row r="33" spans="1:17" ht="12.75" customHeight="1" x14ac:dyDescent="0.25">
      <c r="A33" s="20"/>
      <c r="B33" s="21"/>
      <c r="C33" s="21"/>
      <c r="D33" s="21"/>
      <c r="E33" s="21"/>
      <c r="F33" s="22"/>
      <c r="G33" s="22"/>
      <c r="H33" s="23"/>
      <c r="I33" s="24"/>
      <c r="J33" s="25"/>
      <c r="K33" s="26"/>
      <c r="L33" s="26"/>
      <c r="M33" s="6"/>
      <c r="N33" s="52"/>
      <c r="O33" s="52"/>
      <c r="P33" s="52"/>
      <c r="Q33" s="52"/>
    </row>
    <row r="34" spans="1:17" ht="36" customHeight="1" x14ac:dyDescent="0.25">
      <c r="A34" s="27" t="s">
        <v>30</v>
      </c>
      <c r="B34" s="28"/>
      <c r="C34" s="28"/>
      <c r="D34" s="28"/>
      <c r="E34" s="28"/>
      <c r="F34" s="29">
        <f>+F36+F63</f>
        <v>76.953642502537974</v>
      </c>
      <c r="G34" s="29">
        <f>+G36+G63</f>
        <v>42.25973398348841</v>
      </c>
      <c r="H34" s="30"/>
      <c r="I34" s="30">
        <f>+I36+I63</f>
        <v>23.127398122069927</v>
      </c>
      <c r="J34" s="30">
        <f>+J36+J63</f>
        <v>8.9629434972228381</v>
      </c>
      <c r="K34" s="31">
        <f>IF(I34=0,0,J34/I34)</f>
        <v>0.38754655624965068</v>
      </c>
      <c r="L34" s="31">
        <f>+I34/$I$89</f>
        <v>0.32716823665590472</v>
      </c>
      <c r="M34" s="6"/>
      <c r="N34" s="52"/>
      <c r="O34" s="52"/>
      <c r="P34" s="52"/>
      <c r="Q34" s="52"/>
    </row>
    <row r="35" spans="1:17" ht="12.75" customHeight="1" x14ac:dyDescent="0.25">
      <c r="A35" s="20"/>
      <c r="B35" s="21"/>
      <c r="C35" s="21"/>
      <c r="D35" s="21"/>
      <c r="E35" s="21"/>
      <c r="F35" s="22"/>
      <c r="G35" s="22"/>
      <c r="H35" s="23"/>
      <c r="I35" s="24"/>
      <c r="J35" s="25"/>
      <c r="K35" s="26"/>
      <c r="L35" s="26"/>
      <c r="M35" s="6"/>
      <c r="N35" s="52"/>
      <c r="O35" s="52"/>
      <c r="P35" s="52"/>
      <c r="Q35" s="52"/>
    </row>
    <row r="36" spans="1:17" ht="18.75" customHeight="1" outlineLevel="1" x14ac:dyDescent="0.25">
      <c r="A36" s="48" t="s">
        <v>31</v>
      </c>
      <c r="B36" s="49">
        <f t="shared" ref="B36:E36" si="7">+B38+B45+B51+B57</f>
        <v>26.284660244044442</v>
      </c>
      <c r="C36" s="49">
        <f t="shared" si="7"/>
        <v>22.597188325999998</v>
      </c>
      <c r="D36" s="49">
        <f t="shared" si="7"/>
        <v>1.90458171</v>
      </c>
      <c r="E36" s="49">
        <f t="shared" si="7"/>
        <v>46.977266860044431</v>
      </c>
      <c r="F36" s="49">
        <f>+F38+F45+F51+F57</f>
        <v>46.820424340927779</v>
      </c>
      <c r="G36" s="49">
        <f>+G38+G45+G51+G57</f>
        <v>13.653652713878223</v>
      </c>
      <c r="H36" s="50"/>
      <c r="I36" s="50">
        <f>+I38+I45+I51+I57</f>
        <v>18.597811912731029</v>
      </c>
      <c r="J36" s="50">
        <f>+J38+J45+J51+J57</f>
        <v>4.629358275297939</v>
      </c>
      <c r="K36" s="51">
        <f>IF(I36=0,0,J36/I36)</f>
        <v>0.24891951252227351</v>
      </c>
      <c r="L36" s="51">
        <f>+I36/$I$89</f>
        <v>0.2630911310053502</v>
      </c>
      <c r="M36" s="6"/>
      <c r="N36" s="52"/>
      <c r="O36" s="52"/>
      <c r="P36" s="52"/>
      <c r="Q36" s="52"/>
    </row>
    <row r="37" spans="1:17" ht="7.5" customHeight="1" outlineLevel="1" x14ac:dyDescent="0.25">
      <c r="A37" s="20"/>
      <c r="B37" s="21"/>
      <c r="C37" s="21"/>
      <c r="D37" s="21"/>
      <c r="E37" s="21"/>
      <c r="F37" s="22"/>
      <c r="G37" s="22"/>
      <c r="H37" s="23"/>
      <c r="I37" s="24"/>
      <c r="J37" s="25"/>
      <c r="K37" s="26"/>
      <c r="L37" s="26"/>
      <c r="M37" s="6"/>
      <c r="N37" s="52"/>
      <c r="O37" s="52"/>
      <c r="P37" s="52"/>
      <c r="Q37" s="52"/>
    </row>
    <row r="38" spans="1:17" ht="15" customHeight="1" outlineLevel="2" x14ac:dyDescent="0.25">
      <c r="A38" s="48" t="s">
        <v>88</v>
      </c>
      <c r="B38" s="49">
        <f t="shared" ref="B38:E38" si="8">B40+B41+B42+B43</f>
        <v>9.1287648038326967</v>
      </c>
      <c r="C38" s="49">
        <f t="shared" si="8"/>
        <v>17.334451422999997</v>
      </c>
      <c r="D38" s="49">
        <f t="shared" si="8"/>
        <v>0.9866388479999999</v>
      </c>
      <c r="E38" s="49">
        <f t="shared" si="8"/>
        <v>25.476577378832694</v>
      </c>
      <c r="F38" s="49">
        <f>F40+F41+F42+F43</f>
        <v>25.319734859716039</v>
      </c>
      <c r="G38" s="49">
        <f>G40+G41+G42+G43</f>
        <v>-5.0715574368199894E-2</v>
      </c>
      <c r="H38" s="50"/>
      <c r="I38" s="50">
        <f>SUM(I40:I43)</f>
        <v>11.572747250530004</v>
      </c>
      <c r="J38" s="50">
        <f>SUM(J40:J43)</f>
        <v>-2.1807696978325953E-2</v>
      </c>
      <c r="K38" s="51">
        <f>IF(I38=0,0,J38/I38)</f>
        <v>-1.8844010420539699E-3</v>
      </c>
      <c r="L38" s="51">
        <f>+I38/$I$89</f>
        <v>0.16371211717098677</v>
      </c>
      <c r="M38" s="6"/>
      <c r="N38" s="73"/>
      <c r="O38" s="73"/>
      <c r="P38" s="52"/>
      <c r="Q38" s="52"/>
    </row>
    <row r="39" spans="1:17" ht="15" customHeight="1" outlineLevel="2" x14ac:dyDescent="0.25">
      <c r="A39" s="20"/>
      <c r="B39" s="21"/>
      <c r="C39" s="21"/>
      <c r="D39" s="21"/>
      <c r="E39" s="21"/>
      <c r="F39" s="22"/>
      <c r="G39" s="22"/>
      <c r="H39" s="23"/>
      <c r="I39" s="24"/>
      <c r="J39" s="25"/>
      <c r="K39" s="26"/>
      <c r="L39" s="26"/>
      <c r="M39" s="6"/>
      <c r="N39" s="73"/>
      <c r="O39" s="73"/>
      <c r="P39" s="52"/>
      <c r="Q39" s="52"/>
    </row>
    <row r="40" spans="1:17" ht="15" customHeight="1" outlineLevel="2" x14ac:dyDescent="0.25">
      <c r="A40" s="55" t="s">
        <v>33</v>
      </c>
      <c r="B40" s="56">
        <f>(MIN((B23-D23)*'data from oilseed masterfile'!R40,B23-D23-G23)*0.79)</f>
        <v>-5.1750586089999891E-2</v>
      </c>
      <c r="C40" s="56"/>
      <c r="D40" s="56"/>
      <c r="E40" s="56">
        <f>B40-D40</f>
        <v>-5.1750586089999891E-2</v>
      </c>
      <c r="F40" s="56">
        <f>(B40-D40)*0.98</f>
        <v>-5.0715574368199894E-2</v>
      </c>
      <c r="G40" s="56">
        <f>F40</f>
        <v>-5.0715574368199894E-2</v>
      </c>
      <c r="H40" s="61">
        <v>0.43</v>
      </c>
      <c r="I40" s="58">
        <f>F40*H40</f>
        <v>-2.1807696978325953E-2</v>
      </c>
      <c r="J40" s="58">
        <f>G40*H40</f>
        <v>-2.1807696978325953E-2</v>
      </c>
      <c r="K40" s="26"/>
      <c r="L40" s="26"/>
      <c r="M40" s="6">
        <f>+IF(H40&lt;15%,1,IF(H40&lt;30%,2,IF(H40&lt;50%,3,4)))</f>
        <v>3</v>
      </c>
      <c r="N40" s="73"/>
      <c r="O40" s="73"/>
      <c r="P40" s="52"/>
      <c r="Q40" s="52"/>
    </row>
    <row r="41" spans="1:17" ht="15" customHeight="1" outlineLevel="2" x14ac:dyDescent="0.25">
      <c r="A41" s="55" t="s">
        <v>34</v>
      </c>
      <c r="B41" s="56">
        <f>(MIN(C23*'data from oilseed masterfile'!R40,C23-(F23-G23))*0.79-B43)</f>
        <v>8.8805153899226958</v>
      </c>
      <c r="C41" s="56"/>
      <c r="D41" s="56">
        <f>+'data from oilseed masterfile'!R35</f>
        <v>0.9866388479999999</v>
      </c>
      <c r="E41" s="56">
        <f>B41-D41</f>
        <v>7.8938765419226957</v>
      </c>
      <c r="F41" s="56">
        <f>(B41-D41)*0.98</f>
        <v>7.7359990110842416</v>
      </c>
      <c r="G41" s="56">
        <v>0</v>
      </c>
      <c r="H41" s="61">
        <v>0.45500000000000002</v>
      </c>
      <c r="I41" s="58">
        <f>F41*H41</f>
        <v>3.51987955004333</v>
      </c>
      <c r="J41" s="58">
        <f>G41*H41</f>
        <v>0</v>
      </c>
      <c r="K41" s="26"/>
      <c r="L41" s="26"/>
      <c r="M41" s="6">
        <f>+IF(H41&lt;15%,1,IF(H41&lt;30%,2,IF(H41&lt;50%,3,4)))</f>
        <v>3</v>
      </c>
      <c r="N41" s="73"/>
      <c r="O41" s="73"/>
      <c r="P41" s="52"/>
      <c r="Q41" s="52"/>
    </row>
    <row r="42" spans="1:17" ht="15" customHeight="1" outlineLevel="2" x14ac:dyDescent="0.25">
      <c r="A42" s="55" t="s">
        <v>35</v>
      </c>
      <c r="B42" s="56"/>
      <c r="C42" s="56">
        <f>+'data from oilseed masterfile'!R31</f>
        <v>17.334451422999997</v>
      </c>
      <c r="D42" s="56"/>
      <c r="E42" s="56">
        <f>C42</f>
        <v>17.334451422999997</v>
      </c>
      <c r="F42" s="56">
        <f>(C42-D42)</f>
        <v>17.334451422999997</v>
      </c>
      <c r="G42" s="56">
        <v>0</v>
      </c>
      <c r="H42" s="61">
        <v>0.45500000000000002</v>
      </c>
      <c r="I42" s="58">
        <f>F42*H42</f>
        <v>7.8871753974649987</v>
      </c>
      <c r="J42" s="58">
        <f>G42*H42</f>
        <v>0</v>
      </c>
      <c r="K42" s="26"/>
      <c r="L42" s="26"/>
      <c r="M42" s="6">
        <f>+IF(H42&lt;15%,1,IF(H42&lt;30%,2,IF(H42&lt;50%,3,4)))</f>
        <v>3</v>
      </c>
      <c r="N42" s="73"/>
      <c r="O42" s="73"/>
      <c r="P42" s="52"/>
      <c r="Q42" s="52"/>
    </row>
    <row r="43" spans="1:17" ht="15" customHeight="1" outlineLevel="2" x14ac:dyDescent="0.25">
      <c r="A43" s="55" t="s">
        <v>89</v>
      </c>
      <c r="B43" s="56">
        <f>F43</f>
        <v>0.3</v>
      </c>
      <c r="C43" s="56"/>
      <c r="D43" s="56"/>
      <c r="E43" s="56">
        <f>B43+C43-D43</f>
        <v>0.3</v>
      </c>
      <c r="F43" s="56">
        <v>0.3</v>
      </c>
      <c r="G43" s="56">
        <v>0</v>
      </c>
      <c r="H43" s="65">
        <v>0.625</v>
      </c>
      <c r="I43" s="58">
        <f>F43*H43</f>
        <v>0.1875</v>
      </c>
      <c r="J43" s="58">
        <f>G43*H43</f>
        <v>0</v>
      </c>
      <c r="K43" s="26">
        <f>IF(I43=0,0,J43/I43)</f>
        <v>0</v>
      </c>
      <c r="L43" s="26">
        <f>IF(J43=0,0,K43/J43)</f>
        <v>0</v>
      </c>
      <c r="M43" s="6">
        <f>+IF(H43&lt;15%,1,IF(H43&lt;30%,2,IF(H43&lt;50%,3,4)))</f>
        <v>4</v>
      </c>
      <c r="N43" s="73"/>
      <c r="O43" s="73"/>
      <c r="P43" s="52"/>
      <c r="Q43" s="52"/>
    </row>
    <row r="44" spans="1:17" ht="12.75" customHeight="1" outlineLevel="2" x14ac:dyDescent="0.25">
      <c r="A44" s="20"/>
      <c r="B44" s="21"/>
      <c r="C44" s="21"/>
      <c r="D44" s="21"/>
      <c r="E44" s="21"/>
      <c r="F44" s="22"/>
      <c r="G44" s="22"/>
      <c r="H44" s="23"/>
      <c r="I44" s="24"/>
      <c r="J44" s="25"/>
      <c r="K44" s="26"/>
      <c r="L44" s="26"/>
      <c r="M44" s="6"/>
      <c r="N44" s="73"/>
      <c r="O44" s="73"/>
      <c r="P44" s="52"/>
      <c r="Q44" s="52"/>
    </row>
    <row r="45" spans="1:17" ht="15" customHeight="1" outlineLevel="2" x14ac:dyDescent="0.25">
      <c r="A45" s="48" t="s">
        <v>90</v>
      </c>
      <c r="B45" s="49">
        <f t="shared" ref="B45:E45" si="9">B47+B48+B49</f>
        <v>12.26586126717336</v>
      </c>
      <c r="C45" s="49">
        <f t="shared" si="9"/>
        <v>0.55248767199999993</v>
      </c>
      <c r="D45" s="49">
        <f t="shared" si="9"/>
        <v>0.49711473100000003</v>
      </c>
      <c r="E45" s="49">
        <f t="shared" si="9"/>
        <v>12.32123420817336</v>
      </c>
      <c r="F45" s="49">
        <f>F47+F48+F49</f>
        <v>12.32123420817336</v>
      </c>
      <c r="G45" s="49">
        <f>G47+G48+G49</f>
        <v>9.7482668987482395</v>
      </c>
      <c r="H45" s="50"/>
      <c r="I45" s="50">
        <f>SUM(I47:I49)</f>
        <v>4.0660072886972092</v>
      </c>
      <c r="J45" s="50">
        <f>SUM(J47:J49)</f>
        <v>3.2169280765869193</v>
      </c>
      <c r="K45" s="51">
        <f>IF(I45=0,0,J45/I45)</f>
        <v>0.79117617066979151</v>
      </c>
      <c r="L45" s="51">
        <f>+I45/$I$89</f>
        <v>5.7519156623315901E-2</v>
      </c>
      <c r="M45" s="6"/>
      <c r="N45" s="72"/>
      <c r="O45" s="73"/>
      <c r="P45" s="52"/>
      <c r="Q45" s="52"/>
    </row>
    <row r="46" spans="1:17" ht="15" customHeight="1" outlineLevel="2" x14ac:dyDescent="0.25">
      <c r="A46" s="20"/>
      <c r="B46" s="21"/>
      <c r="C46" s="21"/>
      <c r="D46" s="21"/>
      <c r="E46" s="21"/>
      <c r="F46" s="22"/>
      <c r="G46" s="22"/>
      <c r="H46" s="23"/>
      <c r="I46" s="24"/>
      <c r="J46" s="25"/>
      <c r="K46" s="26"/>
      <c r="L46" s="26"/>
      <c r="M46" s="6"/>
      <c r="N46" s="52"/>
      <c r="O46" s="52"/>
      <c r="P46" s="52"/>
      <c r="Q46" s="52"/>
    </row>
    <row r="47" spans="1:17" ht="15" customHeight="1" outlineLevel="2" x14ac:dyDescent="0.25">
      <c r="A47" s="55" t="s">
        <v>38</v>
      </c>
      <c r="B47" s="56">
        <f>(MIN((B24-D24)*'data from oilseed masterfile'!R41,B24-D24-G24)*0.57)</f>
        <v>10.245381629748239</v>
      </c>
      <c r="C47" s="56"/>
      <c r="D47" s="56">
        <f>+'data from oilseed masterfile'!R36</f>
        <v>0.49711473100000003</v>
      </c>
      <c r="E47" s="56">
        <f>B47-D47</f>
        <v>9.7482668987482395</v>
      </c>
      <c r="F47" s="56">
        <f>(B47-D47)</f>
        <v>9.7482668987482395</v>
      </c>
      <c r="G47" s="56">
        <f>F47</f>
        <v>9.7482668987482395</v>
      </c>
      <c r="H47" s="61">
        <v>0.33</v>
      </c>
      <c r="I47" s="58">
        <f>F47*H47</f>
        <v>3.2169280765869193</v>
      </c>
      <c r="J47" s="58">
        <f>G47*H47</f>
        <v>3.2169280765869193</v>
      </c>
      <c r="K47" s="26"/>
      <c r="L47" s="26"/>
      <c r="M47" s="6">
        <f>+IF(H47&lt;15%,1,IF(H47&lt;30%,2,IF(H47&lt;50%,3,4)))</f>
        <v>3</v>
      </c>
      <c r="N47" s="52"/>
      <c r="O47" s="52"/>
      <c r="P47" s="52"/>
      <c r="Q47" s="52"/>
    </row>
    <row r="48" spans="1:17" ht="15" customHeight="1" outlineLevel="2" x14ac:dyDescent="0.25">
      <c r="A48" s="55" t="s">
        <v>39</v>
      </c>
      <c r="B48" s="56">
        <f>C24*'data from oilseed masterfile'!R41*0.57</f>
        <v>2.020479637425121</v>
      </c>
      <c r="C48" s="56"/>
      <c r="D48" s="56"/>
      <c r="E48" s="56">
        <f>B48-D48</f>
        <v>2.020479637425121</v>
      </c>
      <c r="F48" s="56">
        <f>(B48-D48)</f>
        <v>2.020479637425121</v>
      </c>
      <c r="G48" s="56">
        <v>0</v>
      </c>
      <c r="H48" s="61">
        <v>0.33</v>
      </c>
      <c r="I48" s="58">
        <f>F48*H48</f>
        <v>0.66675828035028994</v>
      </c>
      <c r="J48" s="58">
        <f>G48*H48</f>
        <v>0</v>
      </c>
      <c r="K48" s="26"/>
      <c r="L48" s="26"/>
      <c r="M48" s="6">
        <f>+IF(H48&lt;15%,1,IF(H48&lt;30%,2,IF(H48&lt;50%,3,4)))</f>
        <v>3</v>
      </c>
      <c r="N48" s="52"/>
      <c r="O48" s="52"/>
      <c r="P48" s="52"/>
      <c r="Q48" s="52"/>
    </row>
    <row r="49" spans="1:28" ht="15" customHeight="1" outlineLevel="2" x14ac:dyDescent="0.25">
      <c r="A49" s="55" t="s">
        <v>40</v>
      </c>
      <c r="B49" s="56"/>
      <c r="C49" s="56">
        <f>+'data from oilseed masterfile'!R32</f>
        <v>0.55248767199999993</v>
      </c>
      <c r="D49" s="56"/>
      <c r="E49" s="56">
        <f>C49</f>
        <v>0.55248767199999993</v>
      </c>
      <c r="F49" s="56">
        <f>IF((C49-D49)&lt;0,0,C49-D49)</f>
        <v>0.55248767199999993</v>
      </c>
      <c r="G49" s="56">
        <v>0</v>
      </c>
      <c r="H49" s="61">
        <v>0.33</v>
      </c>
      <c r="I49" s="58">
        <f>F49*H49</f>
        <v>0.18232093176</v>
      </c>
      <c r="J49" s="58">
        <f>G49*H49</f>
        <v>0</v>
      </c>
      <c r="K49" s="26"/>
      <c r="L49" s="26"/>
      <c r="M49" s="6">
        <f>+IF(H49&lt;15%,1,IF(H49&lt;30%,2,IF(H49&lt;50%,3,4)))</f>
        <v>3</v>
      </c>
      <c r="N49" s="73"/>
      <c r="O49" s="73"/>
      <c r="P49" s="52"/>
      <c r="Q49" s="52"/>
      <c r="R49" s="52"/>
      <c r="S49" s="52"/>
      <c r="T49" s="52"/>
      <c r="U49" s="52"/>
      <c r="V49" s="52"/>
      <c r="W49" s="52"/>
      <c r="X49" s="52"/>
      <c r="Y49" s="52"/>
      <c r="Z49" s="52"/>
      <c r="AA49" s="52"/>
      <c r="AB49" s="52"/>
    </row>
    <row r="50" spans="1:28" ht="12.75" customHeight="1" outlineLevel="2" x14ac:dyDescent="0.25">
      <c r="A50" s="20"/>
      <c r="B50" s="21"/>
      <c r="C50" s="21"/>
      <c r="D50" s="21"/>
      <c r="E50" s="21"/>
      <c r="F50" s="22"/>
      <c r="G50" s="22"/>
      <c r="H50" s="23"/>
      <c r="I50" s="24"/>
      <c r="J50" s="25"/>
      <c r="K50" s="26"/>
      <c r="L50" s="26"/>
      <c r="M50" s="6"/>
      <c r="N50" s="73"/>
      <c r="O50" s="73"/>
      <c r="P50" s="52"/>
      <c r="Q50" s="52"/>
      <c r="R50" s="52"/>
      <c r="S50" s="52"/>
      <c r="T50" s="52"/>
      <c r="U50" s="52"/>
      <c r="V50" s="52"/>
      <c r="W50" s="52"/>
      <c r="X50" s="52"/>
      <c r="Y50" s="52"/>
      <c r="Z50" s="52"/>
      <c r="AA50" s="52"/>
      <c r="AB50" s="52"/>
    </row>
    <row r="51" spans="1:28" ht="15" customHeight="1" outlineLevel="2" x14ac:dyDescent="0.25">
      <c r="A51" s="48" t="s">
        <v>91</v>
      </c>
      <c r="B51" s="49">
        <f t="shared" ref="B51:E51" si="10">B53+B54+B55</f>
        <v>4.3000341730383829</v>
      </c>
      <c r="C51" s="49">
        <f t="shared" si="10"/>
        <v>2.9079668709999997</v>
      </c>
      <c r="D51" s="49">
        <f t="shared" si="10"/>
        <v>0.34597381000000005</v>
      </c>
      <c r="E51" s="49">
        <f t="shared" si="10"/>
        <v>6.8620272340383828</v>
      </c>
      <c r="F51" s="49">
        <f>F53+F54+F55</f>
        <v>6.8620272340383828</v>
      </c>
      <c r="G51" s="49">
        <f>G53+G54+G55</f>
        <v>3.7872862764981816</v>
      </c>
      <c r="H51" s="50"/>
      <c r="I51" s="50">
        <f>SUM(I53:I55)</f>
        <v>2.4703298042538173</v>
      </c>
      <c r="J51" s="50">
        <f>SUM(J53:J55)</f>
        <v>1.3634230595393453</v>
      </c>
      <c r="K51" s="51">
        <f>IF(I51=0,0,J51/I51)</f>
        <v>0.55191944702751061</v>
      </c>
      <c r="L51" s="51">
        <f>+I51/$I$89</f>
        <v>3.4946146633113427E-2</v>
      </c>
      <c r="M51" s="6"/>
      <c r="N51" s="72"/>
      <c r="O51" s="73"/>
      <c r="P51" s="52"/>
      <c r="Q51" s="52"/>
      <c r="R51" s="52"/>
      <c r="S51" s="52"/>
      <c r="T51" s="52"/>
      <c r="U51" s="52"/>
      <c r="V51" s="52"/>
      <c r="W51" s="52"/>
      <c r="X51" s="52"/>
      <c r="Y51" s="52"/>
      <c r="Z51" s="52"/>
      <c r="AA51" s="52"/>
      <c r="AB51" s="52"/>
    </row>
    <row r="52" spans="1:28" ht="15" customHeight="1" outlineLevel="2" x14ac:dyDescent="0.25">
      <c r="A52" s="20"/>
      <c r="B52" s="21"/>
      <c r="C52" s="21"/>
      <c r="D52" s="21"/>
      <c r="E52" s="21"/>
      <c r="F52" s="22"/>
      <c r="G52" s="22"/>
      <c r="H52" s="23"/>
      <c r="I52" s="24"/>
      <c r="J52" s="25"/>
      <c r="K52" s="26"/>
      <c r="L52" s="26"/>
      <c r="M52" s="6"/>
      <c r="N52" s="52"/>
      <c r="O52" s="52"/>
      <c r="P52" s="52"/>
      <c r="Q52" s="52"/>
      <c r="R52" s="52"/>
      <c r="S52" s="52"/>
      <c r="T52" s="52"/>
      <c r="U52" s="52"/>
      <c r="V52" s="52"/>
      <c r="W52" s="52"/>
      <c r="X52" s="52"/>
      <c r="Y52" s="52"/>
      <c r="Z52" s="52"/>
      <c r="AA52" s="52"/>
      <c r="AB52" s="52"/>
    </row>
    <row r="53" spans="1:28" ht="15" customHeight="1" outlineLevel="2" x14ac:dyDescent="0.25">
      <c r="A53" s="55" t="s">
        <v>42</v>
      </c>
      <c r="B53" s="56">
        <f>MIN((B25-D25)*'data from oilseed masterfile'!R42,B25-D25-F25)*55%</f>
        <v>4.1332600864981819</v>
      </c>
      <c r="C53" s="56"/>
      <c r="D53" s="56">
        <f>+'data from oilseed masterfile'!R37</f>
        <v>0.34597381000000005</v>
      </c>
      <c r="E53" s="56">
        <f>B53-D53</f>
        <v>3.7872862764981816</v>
      </c>
      <c r="F53" s="56">
        <f>(B53-D53)</f>
        <v>3.7872862764981816</v>
      </c>
      <c r="G53" s="56">
        <f>F53</f>
        <v>3.7872862764981816</v>
      </c>
      <c r="H53" s="61">
        <v>0.36</v>
      </c>
      <c r="I53" s="58">
        <f>F53*H53</f>
        <v>1.3634230595393453</v>
      </c>
      <c r="J53" s="58">
        <f>G53*H53</f>
        <v>1.3634230595393453</v>
      </c>
      <c r="K53" s="26"/>
      <c r="L53" s="26"/>
      <c r="M53" s="6">
        <f>+IF(H53&lt;15%,1,IF(H53&lt;30%,2,IF(H53&lt;50%,3,4)))</f>
        <v>3</v>
      </c>
      <c r="N53" s="52"/>
      <c r="O53" s="52"/>
      <c r="P53" s="52"/>
      <c r="Q53" s="52"/>
      <c r="R53" s="52"/>
      <c r="S53" s="52"/>
      <c r="T53" s="52"/>
      <c r="U53" s="52"/>
      <c r="V53" s="52"/>
      <c r="W53" s="52"/>
      <c r="X53" s="52"/>
      <c r="Y53" s="52"/>
      <c r="Z53" s="52"/>
      <c r="AA53" s="52"/>
      <c r="AB53" s="52"/>
    </row>
    <row r="54" spans="1:28" ht="15" customHeight="1" outlineLevel="2" x14ac:dyDescent="0.25">
      <c r="A54" s="55" t="s">
        <v>43</v>
      </c>
      <c r="B54" s="56">
        <f>C25*'data from oilseed masterfile'!R42*55%</f>
        <v>0.16677408654020084</v>
      </c>
      <c r="C54" s="56"/>
      <c r="D54" s="56"/>
      <c r="E54" s="56">
        <f>B54-D54</f>
        <v>0.16677408654020084</v>
      </c>
      <c r="F54" s="56">
        <f>(B54-D54)</f>
        <v>0.16677408654020084</v>
      </c>
      <c r="G54" s="56">
        <v>0</v>
      </c>
      <c r="H54" s="61">
        <v>0.36</v>
      </c>
      <c r="I54" s="58">
        <f>F54*H54</f>
        <v>6.0038671154472305E-2</v>
      </c>
      <c r="J54" s="58">
        <f>G54*H54</f>
        <v>0</v>
      </c>
      <c r="K54" s="26"/>
      <c r="L54" s="26"/>
      <c r="M54" s="6">
        <f>+IF(H54&lt;15%,1,IF(H54&lt;30%,2,IF(H54&lt;50%,3,4)))</f>
        <v>3</v>
      </c>
      <c r="N54" s="52"/>
      <c r="O54" s="52"/>
      <c r="P54" s="52"/>
      <c r="Q54" s="52"/>
      <c r="R54" s="52"/>
      <c r="S54" s="52"/>
      <c r="T54" s="52"/>
      <c r="U54" s="52"/>
      <c r="V54" s="52"/>
      <c r="W54" s="52"/>
      <c r="X54" s="52"/>
      <c r="Y54" s="52"/>
      <c r="Z54" s="52"/>
      <c r="AA54" s="52"/>
      <c r="AB54" s="52"/>
    </row>
    <row r="55" spans="1:28" ht="15" customHeight="1" outlineLevel="2" x14ac:dyDescent="0.25">
      <c r="A55" s="55" t="s">
        <v>44</v>
      </c>
      <c r="B55" s="56"/>
      <c r="C55" s="56">
        <f>+'data from oilseed masterfile'!R33</f>
        <v>2.9079668709999997</v>
      </c>
      <c r="D55" s="56"/>
      <c r="E55" s="56">
        <f>C55</f>
        <v>2.9079668709999997</v>
      </c>
      <c r="F55" s="56">
        <f>C55-D55</f>
        <v>2.9079668709999997</v>
      </c>
      <c r="G55" s="56">
        <v>0</v>
      </c>
      <c r="H55" s="61">
        <v>0.36</v>
      </c>
      <c r="I55" s="58">
        <f>F55*H55</f>
        <v>1.0468680735599998</v>
      </c>
      <c r="J55" s="58">
        <f>G55*H55</f>
        <v>0</v>
      </c>
      <c r="K55" s="26"/>
      <c r="L55" s="26"/>
      <c r="M55" s="6">
        <f>+IF(H55&lt;15%,1,IF(H55&lt;30%,2,IF(H55&lt;50%,3,4)))</f>
        <v>3</v>
      </c>
      <c r="N55" s="73"/>
      <c r="O55" s="73"/>
      <c r="P55" s="52"/>
      <c r="Q55" s="52"/>
      <c r="R55" s="52"/>
      <c r="S55" s="52"/>
      <c r="T55" s="52"/>
      <c r="U55" s="52"/>
      <c r="V55" s="52"/>
      <c r="W55" s="52"/>
      <c r="X55" s="52"/>
      <c r="Y55" s="52"/>
      <c r="Z55" s="52"/>
      <c r="AA55" s="52"/>
      <c r="AB55" s="52"/>
    </row>
    <row r="56" spans="1:28" ht="12.75" customHeight="1" outlineLevel="2" x14ac:dyDescent="0.25">
      <c r="A56" s="20"/>
      <c r="B56" s="21"/>
      <c r="C56" s="21"/>
      <c r="D56" s="21"/>
      <c r="E56" s="21"/>
      <c r="F56" s="22"/>
      <c r="G56" s="22"/>
      <c r="H56" s="23"/>
      <c r="I56" s="24"/>
      <c r="J56" s="25"/>
      <c r="K56" s="26"/>
      <c r="L56" s="26"/>
      <c r="M56" s="6"/>
      <c r="N56" s="73"/>
      <c r="O56" s="73"/>
      <c r="P56" s="52"/>
      <c r="Q56" s="52"/>
      <c r="R56" s="52"/>
      <c r="S56" s="52"/>
      <c r="T56" s="52"/>
      <c r="U56" s="52"/>
      <c r="V56" s="52"/>
      <c r="W56" s="52"/>
      <c r="X56" s="52"/>
      <c r="Y56" s="52"/>
      <c r="Z56" s="52"/>
      <c r="AA56" s="52"/>
      <c r="AB56" s="52"/>
    </row>
    <row r="57" spans="1:28" ht="15" customHeight="1" outlineLevel="2" x14ac:dyDescent="0.25">
      <c r="A57" s="48" t="s">
        <v>92</v>
      </c>
      <c r="B57" s="49">
        <f t="shared" ref="B57:E57" si="11">B59+B60+B61</f>
        <v>0.59</v>
      </c>
      <c r="C57" s="49">
        <f t="shared" si="11"/>
        <v>1.80228236</v>
      </c>
      <c r="D57" s="49">
        <f t="shared" si="11"/>
        <v>7.4854321000000001E-2</v>
      </c>
      <c r="E57" s="49">
        <f t="shared" si="11"/>
        <v>2.3174280390000002</v>
      </c>
      <c r="F57" s="49">
        <f>F59+F60+F61</f>
        <v>2.3174280390000002</v>
      </c>
      <c r="G57" s="49">
        <f>G59+G60+G61</f>
        <v>0.16881511300000002</v>
      </c>
      <c r="H57" s="50"/>
      <c r="I57" s="50">
        <f>SUM(I59:I61)</f>
        <v>0.48872756925000005</v>
      </c>
      <c r="J57" s="50">
        <f>SUM(J59:J61)</f>
        <v>7.0814836150000005E-2</v>
      </c>
      <c r="K57" s="51">
        <f>IF(I57=0,0,J57/I57)</f>
        <v>0.1448963402221656</v>
      </c>
      <c r="L57" s="51">
        <f>+I57/$I$89</f>
        <v>6.9137105779341432E-3</v>
      </c>
      <c r="M57" s="6"/>
      <c r="N57" s="73"/>
      <c r="O57" s="73"/>
      <c r="P57" s="52"/>
      <c r="Q57" s="52"/>
      <c r="R57" s="52"/>
      <c r="S57" s="52"/>
      <c r="T57" s="52"/>
      <c r="U57" s="52"/>
      <c r="V57" s="52"/>
      <c r="W57" s="52"/>
      <c r="X57" s="52"/>
      <c r="Y57" s="52"/>
      <c r="Z57" s="52"/>
      <c r="AA57" s="52"/>
      <c r="AB57" s="52"/>
    </row>
    <row r="58" spans="1:28" ht="15" customHeight="1" outlineLevel="2" x14ac:dyDescent="0.25">
      <c r="A58" s="20"/>
      <c r="B58" s="21"/>
      <c r="C58" s="21"/>
      <c r="D58" s="21"/>
      <c r="E58" s="21"/>
      <c r="F58" s="22"/>
      <c r="G58" s="22"/>
      <c r="H58" s="23"/>
      <c r="I58" s="24"/>
      <c r="J58" s="25"/>
      <c r="K58" s="26"/>
      <c r="L58" s="26"/>
      <c r="M58" s="6"/>
      <c r="N58" s="73"/>
      <c r="O58" s="73"/>
      <c r="P58" s="52"/>
      <c r="Q58" s="52"/>
      <c r="R58" s="52"/>
      <c r="S58" s="52"/>
      <c r="T58" s="52"/>
      <c r="U58" s="52"/>
      <c r="V58" s="52"/>
      <c r="W58" s="52"/>
      <c r="X58" s="52"/>
      <c r="Y58" s="52"/>
      <c r="Z58" s="52"/>
      <c r="AA58" s="52"/>
      <c r="AB58" s="52"/>
    </row>
    <row r="59" spans="1:28" ht="15" customHeight="1" outlineLevel="2" x14ac:dyDescent="0.25">
      <c r="A59" s="55" t="s">
        <v>46</v>
      </c>
      <c r="B59" s="56">
        <v>0</v>
      </c>
      <c r="C59" s="56">
        <v>1.7452419510000001</v>
      </c>
      <c r="D59" s="56">
        <v>3.9777354000000001E-2</v>
      </c>
      <c r="E59" s="56">
        <f>B59+C59-D59</f>
        <v>1.7054645970000002</v>
      </c>
      <c r="F59" s="56">
        <f>E59</f>
        <v>1.7054645970000002</v>
      </c>
      <c r="G59" s="56">
        <f>IF(B59&gt;E59,F59,F59*(B59-D59)/E59)</f>
        <v>-3.9777354000000001E-2</v>
      </c>
      <c r="H59" s="63">
        <v>0.16</v>
      </c>
      <c r="I59" s="58">
        <f>F59*H59</f>
        <v>0.27287433552000001</v>
      </c>
      <c r="J59" s="58">
        <f>G59*H59</f>
        <v>-6.3643766400000006E-3</v>
      </c>
      <c r="K59" s="26"/>
      <c r="L59" s="26"/>
      <c r="M59" s="6">
        <f>+IF(H59&lt;15%,1,IF(H59&lt;30%,2,IF(H59&lt;50%,3,4)))</f>
        <v>2</v>
      </c>
      <c r="N59" s="52"/>
      <c r="O59" s="52"/>
      <c r="P59" s="52"/>
      <c r="Q59" s="52"/>
      <c r="R59" s="52"/>
      <c r="S59" s="52"/>
      <c r="T59" s="52"/>
      <c r="U59" s="52"/>
      <c r="V59" s="52"/>
      <c r="W59" s="52"/>
      <c r="X59" s="52"/>
      <c r="Y59" s="52"/>
      <c r="Z59" s="52"/>
      <c r="AA59" s="52"/>
      <c r="AB59" s="52"/>
    </row>
    <row r="60" spans="1:28" ht="15" customHeight="1" outlineLevel="2" x14ac:dyDescent="0.25">
      <c r="A60" s="55" t="s">
        <v>47</v>
      </c>
      <c r="B60" s="56">
        <v>0.35199999999999998</v>
      </c>
      <c r="C60" s="56">
        <v>6.1107609999999993E-3</v>
      </c>
      <c r="D60" s="56">
        <v>5.6694340000000001E-3</v>
      </c>
      <c r="E60" s="56">
        <f>B60+C60-D60</f>
        <v>0.35244132700000003</v>
      </c>
      <c r="F60" s="56">
        <f>E60</f>
        <v>0.35244132700000003</v>
      </c>
      <c r="G60" s="56">
        <v>0</v>
      </c>
      <c r="H60" s="61">
        <v>0.34</v>
      </c>
      <c r="I60" s="58">
        <f>F60*H60</f>
        <v>0.11983005118000002</v>
      </c>
      <c r="J60" s="58">
        <f>G60*H60</f>
        <v>0</v>
      </c>
      <c r="K60" s="26"/>
      <c r="L60" s="26"/>
      <c r="M60" s="6">
        <f>+IF(H60&lt;15%,1,IF(H60&lt;30%,2,IF(H60&lt;50%,3,4)))</f>
        <v>3</v>
      </c>
      <c r="N60" s="52"/>
      <c r="O60" s="52"/>
      <c r="P60" s="52"/>
      <c r="Q60" s="52"/>
      <c r="R60" s="52"/>
      <c r="S60" s="52"/>
      <c r="T60" s="52"/>
      <c r="U60" s="52"/>
      <c r="V60" s="52"/>
      <c r="W60" s="52"/>
      <c r="X60" s="52"/>
      <c r="Y60" s="52"/>
      <c r="Z60" s="52"/>
      <c r="AA60" s="52"/>
      <c r="AB60" s="52"/>
    </row>
    <row r="61" spans="1:28" ht="15" customHeight="1" outlineLevel="2" x14ac:dyDescent="0.25">
      <c r="A61" s="55" t="s">
        <v>48</v>
      </c>
      <c r="B61" s="56">
        <v>0.23799999999999999</v>
      </c>
      <c r="C61" s="56">
        <v>5.0929647999999994E-2</v>
      </c>
      <c r="D61" s="56">
        <v>2.9407533E-2</v>
      </c>
      <c r="E61" s="56">
        <f>B61+C61-D61</f>
        <v>0.259522115</v>
      </c>
      <c r="F61" s="56">
        <f>E61</f>
        <v>0.259522115</v>
      </c>
      <c r="G61" s="56">
        <f>IF(B61&gt;E61,F61,F61*(B61-D61)/E61)</f>
        <v>0.208592467</v>
      </c>
      <c r="H61" s="61">
        <v>0.37</v>
      </c>
      <c r="I61" s="58">
        <f>F61*H61</f>
        <v>9.6023182550000002E-2</v>
      </c>
      <c r="J61" s="58">
        <f>G61*H61</f>
        <v>7.7179212790000007E-2</v>
      </c>
      <c r="K61" s="26"/>
      <c r="L61" s="26"/>
      <c r="M61" s="6">
        <f>+IF(H61&lt;15%,1,IF(H61&lt;30%,2,IF(H61&lt;50%,3,4)))</f>
        <v>3</v>
      </c>
      <c r="N61" s="52"/>
      <c r="O61" s="52"/>
      <c r="P61" s="52"/>
      <c r="Q61" s="52"/>
      <c r="R61" s="52"/>
      <c r="S61" s="52"/>
      <c r="T61" s="52"/>
      <c r="U61" s="52"/>
      <c r="V61" s="52"/>
      <c r="W61" s="52"/>
      <c r="X61" s="52"/>
      <c r="Y61" s="52"/>
      <c r="Z61" s="52"/>
      <c r="AA61" s="52"/>
      <c r="AB61" s="52"/>
    </row>
    <row r="62" spans="1:28" ht="12.75" customHeight="1" outlineLevel="2" x14ac:dyDescent="0.25">
      <c r="A62" s="20"/>
      <c r="B62" s="21"/>
      <c r="C62" s="21"/>
      <c r="D62" s="21"/>
      <c r="E62" s="21"/>
      <c r="F62" s="22"/>
      <c r="G62" s="22"/>
      <c r="H62" s="23"/>
      <c r="I62" s="24"/>
      <c r="J62" s="25"/>
      <c r="K62" s="26"/>
      <c r="L62" s="26"/>
      <c r="M62" s="6"/>
      <c r="N62" s="73"/>
      <c r="O62" s="73"/>
      <c r="P62" s="52"/>
      <c r="Q62" s="52"/>
      <c r="R62" s="52"/>
      <c r="S62" s="52"/>
      <c r="T62" s="52"/>
      <c r="U62" s="52"/>
      <c r="V62" s="52"/>
      <c r="W62" s="52"/>
      <c r="X62" s="52"/>
      <c r="Y62" s="52"/>
      <c r="Z62" s="52"/>
      <c r="AA62" s="52"/>
      <c r="AB62" s="52"/>
    </row>
    <row r="63" spans="1:28" ht="19.5" customHeight="1" outlineLevel="1" x14ac:dyDescent="0.25">
      <c r="A63" s="48" t="s">
        <v>49</v>
      </c>
      <c r="B63" s="49">
        <f t="shared" ref="B63:E63" si="12">SUM(B65:B72)</f>
        <v>30.969721412610888</v>
      </c>
      <c r="C63" s="49">
        <f t="shared" si="12"/>
        <v>3.597989965</v>
      </c>
      <c r="D63" s="49">
        <f t="shared" si="12"/>
        <v>1.0551699429999999</v>
      </c>
      <c r="E63" s="49">
        <f t="shared" si="12"/>
        <v>33.512541434610881</v>
      </c>
      <c r="F63" s="49">
        <f>SUM(F65:F72)</f>
        <v>30.133218161610188</v>
      </c>
      <c r="G63" s="49">
        <f>SUM(G65:G72)</f>
        <v>28.606081269610186</v>
      </c>
      <c r="H63" s="50"/>
      <c r="I63" s="50">
        <f>SUM(I65:I72)</f>
        <v>4.5295862093389001</v>
      </c>
      <c r="J63" s="50">
        <f>SUM(J65:J72)</f>
        <v>4.3335852219249</v>
      </c>
      <c r="K63" s="51">
        <f>IF(I63=0,0,J63/I63)</f>
        <v>0.95672872126599695</v>
      </c>
      <c r="L63" s="51">
        <f>+I63/$I$89</f>
        <v>6.407710565055455E-2</v>
      </c>
      <c r="M63" s="6"/>
      <c r="N63" s="52"/>
      <c r="O63" s="52"/>
      <c r="P63" s="52"/>
      <c r="Q63" s="52"/>
      <c r="R63" s="52"/>
      <c r="S63" s="52"/>
      <c r="T63" s="52"/>
      <c r="U63" s="52"/>
      <c r="V63" s="52"/>
      <c r="W63" s="52"/>
      <c r="X63" s="52"/>
      <c r="Y63" s="52"/>
      <c r="Z63" s="52"/>
      <c r="AA63" s="52"/>
      <c r="AB63" s="52"/>
    </row>
    <row r="64" spans="1:28" ht="15" customHeight="1" outlineLevel="2" x14ac:dyDescent="0.25">
      <c r="A64" s="20"/>
      <c r="B64" s="21"/>
      <c r="C64" s="21"/>
      <c r="D64" s="21"/>
      <c r="E64" s="21"/>
      <c r="F64" s="22"/>
      <c r="G64" s="22"/>
      <c r="H64" s="23"/>
      <c r="I64" s="24"/>
      <c r="J64" s="25"/>
      <c r="K64" s="26"/>
      <c r="L64" s="26"/>
      <c r="M64" s="6"/>
      <c r="N64" s="52"/>
      <c r="O64" s="52"/>
      <c r="P64" s="52"/>
      <c r="Q64" s="52"/>
      <c r="R64" s="52"/>
      <c r="S64" s="52"/>
      <c r="T64" s="52"/>
      <c r="U64" s="52"/>
      <c r="V64" s="52"/>
      <c r="W64" s="52"/>
      <c r="X64" s="52"/>
      <c r="Y64" s="52"/>
      <c r="Z64" s="52"/>
      <c r="AA64" s="52"/>
      <c r="AB64" s="52"/>
    </row>
    <row r="65" spans="1:28" ht="15" customHeight="1" outlineLevel="2" x14ac:dyDescent="0.25">
      <c r="A65" s="55" t="s">
        <v>50</v>
      </c>
      <c r="B65" s="56">
        <v>3.8811020716581464</v>
      </c>
      <c r="C65" s="56">
        <v>0.548079011</v>
      </c>
      <c r="D65" s="56">
        <v>0.27547754599999996</v>
      </c>
      <c r="E65" s="56">
        <f t="shared" ref="E65:E67" si="13">B65+C65-D65</f>
        <v>4.1537035366581465</v>
      </c>
      <c r="F65" s="56">
        <f>E65</f>
        <v>4.1537035366581465</v>
      </c>
      <c r="G65" s="56">
        <f>+F65</f>
        <v>4.1537035366581465</v>
      </c>
      <c r="H65" s="63">
        <v>0.19</v>
      </c>
      <c r="I65" s="58">
        <f>F65*H65</f>
        <v>0.78920367196504781</v>
      </c>
      <c r="J65" s="58">
        <f>G65*H65</f>
        <v>0.78920367196504781</v>
      </c>
      <c r="K65" s="26"/>
      <c r="L65" s="26"/>
      <c r="M65" s="6">
        <f t="shared" ref="M65:M71" si="14">+IF(H65&lt;15%,1,IF(H65&lt;30%,2,IF(H65&lt;50%,3,4)))</f>
        <v>2</v>
      </c>
      <c r="N65" s="52"/>
      <c r="O65" s="52"/>
      <c r="P65" s="52"/>
      <c r="Q65" s="52"/>
      <c r="R65" s="52"/>
      <c r="S65" s="52"/>
      <c r="T65" s="52"/>
      <c r="U65" s="52"/>
      <c r="V65" s="52"/>
      <c r="W65" s="52"/>
      <c r="X65" s="52"/>
      <c r="Y65" s="52"/>
      <c r="Z65" s="52"/>
      <c r="AA65" s="52"/>
      <c r="AB65" s="52"/>
    </row>
    <row r="66" spans="1:28" ht="15.75" outlineLevel="2" x14ac:dyDescent="0.25">
      <c r="A66" s="55" t="s">
        <v>51</v>
      </c>
      <c r="B66" s="56">
        <v>0.96895255781463907</v>
      </c>
      <c r="C66" s="56"/>
      <c r="D66" s="56"/>
      <c r="E66" s="56">
        <f t="shared" si="13"/>
        <v>0.96895255781463907</v>
      </c>
      <c r="F66" s="56">
        <v>0.64670155598633683</v>
      </c>
      <c r="G66" s="56">
        <f>+F66</f>
        <v>0.64670155598633683</v>
      </c>
      <c r="H66" s="65">
        <v>0.73</v>
      </c>
      <c r="I66" s="58">
        <f>F66*H66</f>
        <v>0.47209213587002585</v>
      </c>
      <c r="J66" s="58">
        <f>G66*H66</f>
        <v>0.47209213587002585</v>
      </c>
      <c r="K66" s="26"/>
      <c r="L66" s="26"/>
      <c r="M66" s="6">
        <f t="shared" si="14"/>
        <v>4</v>
      </c>
      <c r="N66" s="52"/>
      <c r="O66" s="52"/>
      <c r="P66" s="52"/>
      <c r="Q66" s="52"/>
      <c r="R66" s="52"/>
      <c r="S66" s="52"/>
      <c r="T66" s="52"/>
      <c r="U66" s="52"/>
      <c r="V66" s="52"/>
      <c r="W66" s="52"/>
      <c r="X66" s="52"/>
      <c r="Y66" s="52"/>
      <c r="Z66" s="52"/>
      <c r="AA66" s="52"/>
      <c r="AB66" s="52"/>
    </row>
    <row r="67" spans="1:28" ht="29.25" customHeight="1" outlineLevel="2" x14ac:dyDescent="0.25">
      <c r="A67" s="66" t="s">
        <v>52</v>
      </c>
      <c r="B67" s="67">
        <f>'data from cereal masterfile'!D60*(D77*0.362+(1-D77)*0.276)</f>
        <v>3.6185202702552903</v>
      </c>
      <c r="C67" s="67">
        <v>0.40265746200000002</v>
      </c>
      <c r="D67" s="67">
        <v>0.24837512200000003</v>
      </c>
      <c r="E67" s="67">
        <f t="shared" si="13"/>
        <v>3.7728026102552898</v>
      </c>
      <c r="F67" s="67">
        <f>E67</f>
        <v>3.7728026102552898</v>
      </c>
      <c r="G67" s="67">
        <f>IF(B67&gt;E67,F67,F67*(B67-D67)/E67)</f>
        <v>3.3701451482552902</v>
      </c>
      <c r="H67" s="68" t="s">
        <v>53</v>
      </c>
      <c r="I67" s="69">
        <f>(B67-D67)*0.3+C67*0.27</f>
        <v>1.119761059216587</v>
      </c>
      <c r="J67" s="69">
        <f>(B67-D67)*0.3</f>
        <v>1.0110435444765871</v>
      </c>
      <c r="K67" s="26"/>
      <c r="L67" s="26"/>
      <c r="M67" s="6">
        <v>2</v>
      </c>
      <c r="N67" s="52"/>
      <c r="O67" s="52"/>
      <c r="P67" s="52"/>
      <c r="Q67" s="52"/>
      <c r="R67" s="52"/>
      <c r="S67" s="52"/>
      <c r="T67" s="52"/>
      <c r="U67" s="52"/>
      <c r="V67" s="52"/>
      <c r="W67" s="52"/>
      <c r="X67" s="52"/>
      <c r="Y67" s="52"/>
      <c r="Z67" s="52"/>
      <c r="AA67" s="52"/>
      <c r="AB67" s="52"/>
    </row>
    <row r="68" spans="1:28" ht="15" customHeight="1" outlineLevel="2" x14ac:dyDescent="0.25">
      <c r="A68" s="55" t="s">
        <v>54</v>
      </c>
      <c r="B68" s="56">
        <v>5.6456428801499996</v>
      </c>
      <c r="C68" s="56"/>
      <c r="D68" s="56"/>
      <c r="E68" s="56">
        <f>+B68+C68-D68</f>
        <v>5.6456428801499996</v>
      </c>
      <c r="F68" s="56">
        <f>+E68</f>
        <v>5.6456428801499996</v>
      </c>
      <c r="G68" s="56">
        <f>+F68</f>
        <v>5.6456428801499996</v>
      </c>
      <c r="H68" s="57">
        <v>5.3999999999999999E-2</v>
      </c>
      <c r="I68" s="58">
        <f>+F68*$H$68</f>
        <v>0.30486471552809996</v>
      </c>
      <c r="J68" s="58">
        <f>+G68*$H$68</f>
        <v>0.30486471552809996</v>
      </c>
      <c r="K68" s="26"/>
      <c r="L68" s="26"/>
      <c r="M68" s="6">
        <f t="shared" si="14"/>
        <v>1</v>
      </c>
      <c r="N68" s="52"/>
      <c r="O68" s="52"/>
      <c r="P68" s="52"/>
      <c r="Q68" s="52"/>
      <c r="R68" s="52"/>
      <c r="S68" s="52"/>
      <c r="T68" s="52"/>
      <c r="U68" s="52"/>
      <c r="V68" s="52"/>
      <c r="W68" s="52"/>
      <c r="X68" s="52"/>
      <c r="Y68" s="52"/>
      <c r="Z68" s="52"/>
      <c r="AA68" s="52"/>
      <c r="AB68" s="52"/>
    </row>
    <row r="69" spans="1:28" ht="15" customHeight="1" outlineLevel="2" x14ac:dyDescent="0.25">
      <c r="A69" s="55" t="s">
        <v>55</v>
      </c>
      <c r="B69" s="56">
        <f>('data from cereal masterfile'!D63+'data from cereal masterfile'!D65)*0.15</f>
        <v>7.3183349414428127</v>
      </c>
      <c r="C69" s="56">
        <v>2.2239675E-2</v>
      </c>
      <c r="D69" s="56">
        <v>0.134014518</v>
      </c>
      <c r="E69" s="56">
        <f>B69+C69-D69</f>
        <v>7.2065600984428126</v>
      </c>
      <c r="F69" s="56">
        <f>E69</f>
        <v>7.2065600984428126</v>
      </c>
      <c r="G69" s="56">
        <f>IF(B69&gt;E69,F69,F69*(B69-D69)/E69)</f>
        <v>7.2065600984428126</v>
      </c>
      <c r="H69" s="71">
        <v>0.155</v>
      </c>
      <c r="I69" s="58">
        <f>F69*H69</f>
        <v>1.1170168152586359</v>
      </c>
      <c r="J69" s="58">
        <f>G69*H69</f>
        <v>1.1170168152586359</v>
      </c>
      <c r="K69" s="26"/>
      <c r="L69" s="26"/>
      <c r="M69" s="6">
        <f t="shared" si="14"/>
        <v>2</v>
      </c>
      <c r="N69" s="52"/>
      <c r="O69" s="52"/>
      <c r="P69" s="52"/>
      <c r="Q69" s="134"/>
      <c r="R69" s="52"/>
      <c r="S69" s="52"/>
      <c r="T69" s="52"/>
      <c r="U69" s="52"/>
      <c r="V69" s="52"/>
      <c r="W69" s="72"/>
      <c r="X69" s="73"/>
      <c r="Y69" s="73"/>
      <c r="Z69" s="73"/>
      <c r="AA69" s="74"/>
      <c r="AB69" s="74"/>
    </row>
    <row r="70" spans="1:28" ht="15.75" outlineLevel="2" x14ac:dyDescent="0.25">
      <c r="A70" s="55" t="s">
        <v>56</v>
      </c>
      <c r="B70" s="56">
        <v>0</v>
      </c>
      <c r="C70" s="56">
        <v>0.40769656499999996</v>
      </c>
      <c r="D70" s="56">
        <v>2.0095991000000001E-2</v>
      </c>
      <c r="E70" s="56">
        <f>B70+C70-D70</f>
        <v>0.38760057399999998</v>
      </c>
      <c r="F70" s="56">
        <f>E70</f>
        <v>0.38760057399999998</v>
      </c>
      <c r="G70" s="56">
        <f>IF(B70&gt;E70,F70,F70*B70/E70)</f>
        <v>0</v>
      </c>
      <c r="H70" s="57">
        <v>7.4999999999999997E-2</v>
      </c>
      <c r="I70" s="58">
        <f>F70*H70</f>
        <v>2.9070043049999997E-2</v>
      </c>
      <c r="J70" s="58">
        <f>G70*H70</f>
        <v>0</v>
      </c>
      <c r="K70" s="26"/>
      <c r="L70" s="26"/>
      <c r="M70" s="6">
        <f t="shared" si="14"/>
        <v>1</v>
      </c>
      <c r="N70" s="52"/>
      <c r="O70" s="52"/>
      <c r="P70" s="52"/>
      <c r="Q70" s="134"/>
      <c r="R70" s="135"/>
      <c r="S70" s="52"/>
      <c r="T70" s="52"/>
      <c r="U70" s="52"/>
      <c r="V70" s="52"/>
      <c r="W70" s="72"/>
      <c r="X70" s="73"/>
      <c r="Y70" s="72"/>
      <c r="Z70" s="75"/>
      <c r="AA70" s="76"/>
      <c r="AB70" s="74"/>
    </row>
    <row r="71" spans="1:28" ht="15" customHeight="1" outlineLevel="2" x14ac:dyDescent="0.25">
      <c r="A71" s="55" t="s">
        <v>57</v>
      </c>
      <c r="B71" s="56">
        <v>6.3581124608600001</v>
      </c>
      <c r="C71" s="56">
        <v>0.73687885599999992</v>
      </c>
      <c r="D71" s="56">
        <v>0.213406656</v>
      </c>
      <c r="E71" s="56">
        <f>B71+C71-D71</f>
        <v>6.8815846608599998</v>
      </c>
      <c r="F71" s="56">
        <f>E71</f>
        <v>6.8815846608599998</v>
      </c>
      <c r="G71" s="56">
        <f>IF(B71&gt;E71,F71,F71*(B71-D71)/E71)</f>
        <v>6.1447058048599992</v>
      </c>
      <c r="H71" s="57">
        <v>7.9000000000000001E-2</v>
      </c>
      <c r="I71" s="58">
        <f>F71*H71</f>
        <v>0.54364518820793994</v>
      </c>
      <c r="J71" s="58">
        <f>G71*H71</f>
        <v>0.48543175858393994</v>
      </c>
      <c r="K71" s="26"/>
      <c r="L71" s="26"/>
      <c r="M71" s="6">
        <f t="shared" si="14"/>
        <v>1</v>
      </c>
      <c r="N71" s="52"/>
      <c r="O71" s="52"/>
      <c r="P71" s="52"/>
      <c r="Q71" s="52"/>
      <c r="R71" s="52"/>
      <c r="S71" s="52"/>
      <c r="T71" s="52"/>
      <c r="U71" s="52"/>
      <c r="V71" s="52"/>
      <c r="W71" s="52"/>
      <c r="X71" s="52"/>
      <c r="Y71" s="52"/>
      <c r="Z71" s="52"/>
      <c r="AA71" s="52"/>
      <c r="AB71" s="52"/>
    </row>
    <row r="72" spans="1:28" ht="30" customHeight="1" outlineLevel="2" x14ac:dyDescent="0.25">
      <c r="A72" s="66" t="s">
        <v>58</v>
      </c>
      <c r="B72" s="67">
        <v>3.1790562304300001</v>
      </c>
      <c r="C72" s="67">
        <v>1.480438396</v>
      </c>
      <c r="D72" s="67">
        <v>0.16380011</v>
      </c>
      <c r="E72" s="67">
        <f>B72+C72-D72</f>
        <v>4.4956945164299995</v>
      </c>
      <c r="F72" s="67">
        <f>E72*0.32</f>
        <v>1.4386222452575999</v>
      </c>
      <c r="G72" s="67">
        <f>+IF(B72&gt;F72,F72,B72-D72)</f>
        <v>1.4386222452575999</v>
      </c>
      <c r="H72" s="77" t="s">
        <v>95</v>
      </c>
      <c r="I72" s="69">
        <f>G72*0.107+(F72-G72)*0.042</f>
        <v>0.15393258024256318</v>
      </c>
      <c r="J72" s="69">
        <f>G72*0.107</f>
        <v>0.15393258024256318</v>
      </c>
      <c r="K72" s="26"/>
      <c r="L72" s="26"/>
      <c r="M72" s="6">
        <v>1</v>
      </c>
      <c r="N72" s="52"/>
      <c r="O72" s="52"/>
      <c r="P72" s="52"/>
      <c r="Q72" s="52"/>
      <c r="R72" s="52"/>
      <c r="S72" s="52"/>
      <c r="T72" s="52"/>
      <c r="U72" s="52"/>
      <c r="V72" s="52"/>
      <c r="W72" s="52"/>
      <c r="X72" s="52"/>
      <c r="Y72" s="52"/>
      <c r="Z72" s="52"/>
      <c r="AA72" s="52"/>
      <c r="AB72" s="52"/>
    </row>
    <row r="73" spans="1:28" ht="12.75" customHeight="1" x14ac:dyDescent="0.25">
      <c r="A73" s="20"/>
      <c r="B73" s="21"/>
      <c r="C73" s="21"/>
      <c r="D73" s="21"/>
      <c r="E73" s="21"/>
      <c r="F73" s="22"/>
      <c r="G73" s="22"/>
      <c r="H73" s="23"/>
      <c r="I73" s="24"/>
      <c r="J73" s="25"/>
      <c r="K73" s="26"/>
      <c r="L73" s="26"/>
      <c r="M73" s="6"/>
      <c r="N73" s="52"/>
      <c r="O73" s="52"/>
      <c r="P73" s="52"/>
      <c r="Q73" s="52"/>
      <c r="R73" s="52"/>
      <c r="S73" s="52"/>
      <c r="T73" s="52"/>
      <c r="U73" s="52"/>
      <c r="V73" s="52"/>
      <c r="W73" s="52"/>
      <c r="X73" s="52"/>
      <c r="Y73" s="52"/>
      <c r="Z73" s="52"/>
      <c r="AA73" s="52"/>
      <c r="AB73" s="52"/>
    </row>
    <row r="74" spans="1:28" ht="36.75" customHeight="1" x14ac:dyDescent="0.25">
      <c r="A74" s="27" t="s">
        <v>60</v>
      </c>
      <c r="B74" s="28"/>
      <c r="C74" s="28"/>
      <c r="D74" s="28"/>
      <c r="E74" s="28"/>
      <c r="F74" s="29">
        <f>SUM(F76:F80)</f>
        <v>6.4211799868509161</v>
      </c>
      <c r="G74" s="29">
        <f>SUM(G76:G80)</f>
        <v>6.223532125850916</v>
      </c>
      <c r="H74" s="30"/>
      <c r="I74" s="30">
        <f>SUM(I76:I80)</f>
        <v>1.9326215385551206</v>
      </c>
      <c r="J74" s="30">
        <f>SUM(J76:J80)</f>
        <v>1.8075345144051207</v>
      </c>
      <c r="K74" s="31">
        <f>IF(I74=0,0,J74/I74)</f>
        <v>0.93527598567305714</v>
      </c>
      <c r="L74" s="31">
        <f>+I74/$I$89</f>
        <v>2.733953804725309E-2</v>
      </c>
      <c r="M74" s="6"/>
      <c r="N74" s="52"/>
      <c r="O74" s="52"/>
      <c r="P74" s="52"/>
      <c r="Q74" s="52"/>
      <c r="R74" s="52"/>
      <c r="S74" s="52"/>
      <c r="T74" s="52"/>
      <c r="U74" s="52"/>
      <c r="V74" s="52"/>
      <c r="W74" s="52"/>
      <c r="X74" s="52"/>
      <c r="Y74" s="52"/>
      <c r="Z74" s="52"/>
      <c r="AA74" s="52"/>
      <c r="AB74" s="52"/>
    </row>
    <row r="75" spans="1:28" ht="15" customHeight="1" outlineLevel="1" x14ac:dyDescent="0.25">
      <c r="A75" s="20" t="s">
        <v>61</v>
      </c>
      <c r="B75" s="21"/>
      <c r="C75" s="21"/>
      <c r="D75" s="21"/>
      <c r="E75" s="21"/>
      <c r="F75" s="22"/>
      <c r="G75" s="22"/>
      <c r="H75" s="23"/>
      <c r="I75" s="24"/>
      <c r="J75" s="25"/>
      <c r="K75" s="26"/>
      <c r="L75" s="26"/>
      <c r="M75" s="6"/>
      <c r="N75" s="52"/>
      <c r="O75" s="52"/>
      <c r="P75" s="52"/>
      <c r="Q75" s="52"/>
      <c r="R75" s="52"/>
      <c r="S75" s="52"/>
      <c r="T75" s="52"/>
      <c r="U75" s="52"/>
      <c r="V75" s="52"/>
      <c r="W75" s="52"/>
      <c r="X75" s="52"/>
      <c r="Y75" s="52"/>
      <c r="Z75" s="52"/>
      <c r="AA75" s="52"/>
      <c r="AB75" s="52"/>
    </row>
    <row r="76" spans="1:28" ht="15" customHeight="1" outlineLevel="1" x14ac:dyDescent="0.25">
      <c r="A76" s="55" t="s">
        <v>96</v>
      </c>
      <c r="B76" s="56">
        <v>0.39200000000000002</v>
      </c>
      <c r="C76" s="56">
        <v>0.310362996</v>
      </c>
      <c r="D76" s="56">
        <v>0.23805163499999998</v>
      </c>
      <c r="E76" s="56">
        <f>B76+C76-D76</f>
        <v>0.46431136099999998</v>
      </c>
      <c r="F76" s="56">
        <f>E76</f>
        <v>0.46431136099999998</v>
      </c>
      <c r="G76" s="56">
        <f>IF(B76&gt;E76,F76,F76*B76/E76)</f>
        <v>0.39200000000000002</v>
      </c>
      <c r="H76" s="65">
        <v>0.65</v>
      </c>
      <c r="I76" s="58">
        <f>F76*H76</f>
        <v>0.30180238464999998</v>
      </c>
      <c r="J76" s="58">
        <f>G76*H76</f>
        <v>0.25480000000000003</v>
      </c>
      <c r="K76" s="26"/>
      <c r="L76" s="26"/>
      <c r="M76" s="6">
        <f>+IF(H76&lt;15%,1,IF(H76&lt;30%,2,IF(H76&lt;50%,3,4)))</f>
        <v>4</v>
      </c>
      <c r="N76" s="52"/>
      <c r="O76" s="52"/>
      <c r="P76" s="52"/>
      <c r="Q76" s="52"/>
      <c r="R76" s="52"/>
      <c r="S76" s="52"/>
      <c r="T76" s="52"/>
      <c r="U76" s="52"/>
      <c r="V76" s="52"/>
      <c r="W76" s="52"/>
      <c r="X76" s="52"/>
      <c r="Y76" s="52"/>
      <c r="Z76" s="52"/>
      <c r="AA76" s="52"/>
      <c r="AB76" s="52"/>
    </row>
    <row r="77" spans="1:28" ht="15.75" outlineLevel="1" x14ac:dyDescent="0.25">
      <c r="A77" s="55" t="s">
        <v>97</v>
      </c>
      <c r="B77" s="56">
        <v>1.8559040916880893</v>
      </c>
      <c r="C77" s="56">
        <v>0.170425138</v>
      </c>
      <c r="D77" s="56">
        <v>0.61459251500000001</v>
      </c>
      <c r="E77" s="56">
        <f>B77+C77-D77</f>
        <v>1.4117367146880895</v>
      </c>
      <c r="F77" s="56">
        <v>0.9</v>
      </c>
      <c r="G77" s="56">
        <v>0.9</v>
      </c>
      <c r="H77" s="57">
        <v>0.125</v>
      </c>
      <c r="I77" s="58">
        <f>F77*H77</f>
        <v>0.1125</v>
      </c>
      <c r="J77" s="58">
        <f>G77*H77</f>
        <v>0.1125</v>
      </c>
      <c r="K77" s="26"/>
      <c r="L77" s="26"/>
      <c r="M77" s="6">
        <f>+IF(H77&lt;15%,1,IF(H77&lt;30%,2,IF(H77&lt;50%,3,4)))</f>
        <v>1</v>
      </c>
      <c r="N77" s="52"/>
      <c r="O77" s="52"/>
      <c r="P77" s="52"/>
      <c r="Q77" s="52"/>
      <c r="R77" s="52"/>
      <c r="S77" s="52"/>
      <c r="T77" s="52"/>
      <c r="U77" s="52"/>
      <c r="V77" s="52"/>
      <c r="W77" s="52"/>
      <c r="X77" s="52"/>
      <c r="Y77" s="52"/>
      <c r="Z77" s="52"/>
      <c r="AA77" s="52"/>
      <c r="AB77" s="52"/>
    </row>
    <row r="78" spans="1:28" ht="15" customHeight="1" outlineLevel="1" x14ac:dyDescent="0.25">
      <c r="A78" s="55" t="s">
        <v>98</v>
      </c>
      <c r="B78" s="56">
        <v>1.201686</v>
      </c>
      <c r="C78" s="56">
        <v>4.1950808999999999E-2</v>
      </c>
      <c r="D78" s="56">
        <v>0.55656760299999997</v>
      </c>
      <c r="E78" s="56">
        <f>B78+C78-D78</f>
        <v>0.6870692060000001</v>
      </c>
      <c r="F78" s="56">
        <v>0.17</v>
      </c>
      <c r="G78" s="56">
        <f>+F78</f>
        <v>0.17</v>
      </c>
      <c r="H78" s="61">
        <v>0.34</v>
      </c>
      <c r="I78" s="58">
        <f>F78*H78</f>
        <v>5.7800000000000011E-2</v>
      </c>
      <c r="J78" s="58">
        <f>G78*H78</f>
        <v>5.7800000000000011E-2</v>
      </c>
      <c r="K78" s="26"/>
      <c r="L78" s="26"/>
      <c r="M78" s="6">
        <f>+IF(H78&lt;15%,1,IF(H78&lt;30%,2,IF(H78&lt;50%,3,4)))</f>
        <v>3</v>
      </c>
      <c r="N78" s="52"/>
      <c r="O78" s="52"/>
      <c r="P78" s="52"/>
      <c r="Q78" s="52"/>
      <c r="R78" s="52"/>
      <c r="S78" s="52"/>
      <c r="T78" s="52"/>
      <c r="U78" s="52"/>
      <c r="V78" s="52"/>
      <c r="W78" s="52"/>
      <c r="X78" s="52"/>
      <c r="Y78" s="52"/>
      <c r="Z78" s="52"/>
      <c r="AA78" s="52"/>
      <c r="AB78" s="52"/>
    </row>
    <row r="79" spans="1:28" ht="15" customHeight="1" outlineLevel="1" x14ac:dyDescent="0.25">
      <c r="A79" s="55" t="s">
        <v>99</v>
      </c>
      <c r="B79" s="56">
        <v>2.5931287954173809</v>
      </c>
      <c r="C79" s="56">
        <v>0.125336471</v>
      </c>
      <c r="D79" s="56">
        <v>0.67696850799999997</v>
      </c>
      <c r="E79" s="56">
        <v>2.412374076455424</v>
      </c>
      <c r="F79" s="56">
        <v>1.8868686258509157</v>
      </c>
      <c r="G79" s="56">
        <v>1.7615321258509158</v>
      </c>
      <c r="H79" s="65">
        <v>0.623</v>
      </c>
      <c r="I79" s="58">
        <f>F79*H79</f>
        <v>1.1755191539051204</v>
      </c>
      <c r="J79" s="58">
        <f>G79*H79</f>
        <v>1.0974345144051205</v>
      </c>
      <c r="K79" s="78"/>
      <c r="L79" s="78"/>
      <c r="M79" s="6">
        <f>+IF(H79&lt;15%,1,IF(H79&lt;30%,2,IF(H79&lt;50%,3,4)))</f>
        <v>4</v>
      </c>
      <c r="N79" s="52"/>
      <c r="O79" s="52"/>
      <c r="P79" s="52"/>
      <c r="Q79" s="52"/>
      <c r="R79" s="52"/>
      <c r="S79" s="52"/>
      <c r="T79" s="52"/>
      <c r="U79" s="52"/>
      <c r="V79" s="52"/>
      <c r="W79" s="52"/>
      <c r="X79" s="52"/>
      <c r="Y79" s="52"/>
      <c r="Z79" s="52"/>
      <c r="AA79" s="52"/>
      <c r="AB79" s="52"/>
    </row>
    <row r="80" spans="1:28" ht="15" customHeight="1" outlineLevel="1" x14ac:dyDescent="0.25">
      <c r="A80" s="55" t="s">
        <v>100</v>
      </c>
      <c r="B80" s="79"/>
      <c r="C80" s="79"/>
      <c r="D80" s="79"/>
      <c r="E80" s="79"/>
      <c r="F80" s="79">
        <v>3</v>
      </c>
      <c r="G80" s="79">
        <v>3</v>
      </c>
      <c r="H80" s="57">
        <f>0.095</f>
        <v>9.5000000000000001E-2</v>
      </c>
      <c r="I80" s="58">
        <f>F80*H80</f>
        <v>0.28500000000000003</v>
      </c>
      <c r="J80" s="58">
        <f>G80*H80</f>
        <v>0.28500000000000003</v>
      </c>
      <c r="K80" s="26"/>
      <c r="L80" s="26"/>
      <c r="M80" s="6">
        <f>+IF(H80&lt;15%,1,IF(H80&lt;30%,2,IF(H80&lt;50%,3,4)))</f>
        <v>1</v>
      </c>
    </row>
    <row r="81" spans="1:28" ht="12.75" customHeight="1" x14ac:dyDescent="0.25">
      <c r="A81" s="80"/>
      <c r="B81" s="24"/>
      <c r="C81" s="24"/>
      <c r="D81" s="24"/>
      <c r="E81" s="24"/>
      <c r="F81" s="25"/>
      <c r="G81" s="25"/>
      <c r="H81" s="81"/>
      <c r="I81" s="24"/>
      <c r="J81" s="25"/>
      <c r="K81" s="26"/>
      <c r="L81" s="26"/>
      <c r="M81" s="6"/>
    </row>
    <row r="82" spans="1:28" ht="35.25" customHeight="1" x14ac:dyDescent="0.25">
      <c r="A82" s="27" t="s">
        <v>67</v>
      </c>
      <c r="B82" s="28"/>
      <c r="C82" s="28"/>
      <c r="D82" s="28"/>
      <c r="E82" s="28"/>
      <c r="F82" s="82">
        <f>SUM(F84:F87)</f>
        <v>956.64141365414298</v>
      </c>
      <c r="G82" s="82">
        <f>SUM(G84:G87)</f>
        <v>956.64141365414298</v>
      </c>
      <c r="H82" s="30"/>
      <c r="I82" s="82">
        <f>SUM(I84:I87)</f>
        <v>30.024643473247242</v>
      </c>
      <c r="J82" s="82">
        <f>SUM(J84:J87)</f>
        <v>30.024643473247242</v>
      </c>
      <c r="K82" s="31">
        <f>IF(I82=0,0,J82/I82)</f>
        <v>1</v>
      </c>
      <c r="L82" s="31">
        <f>+I82/$I$89</f>
        <v>0.42473907395534299</v>
      </c>
      <c r="M82" s="6"/>
    </row>
    <row r="83" spans="1:28" ht="15" customHeight="1" outlineLevel="1" x14ac:dyDescent="0.25">
      <c r="A83" s="83"/>
      <c r="B83" s="84"/>
      <c r="C83" s="84"/>
      <c r="D83" s="84"/>
      <c r="E83" s="84"/>
      <c r="F83" s="85"/>
      <c r="G83" s="85"/>
      <c r="H83" s="86"/>
      <c r="I83" s="87"/>
      <c r="J83" s="88"/>
      <c r="K83" s="89"/>
      <c r="L83" s="90"/>
      <c r="M83" s="6"/>
    </row>
    <row r="84" spans="1:28" ht="15" customHeight="1" outlineLevel="1" x14ac:dyDescent="0.25">
      <c r="A84" s="55" t="s">
        <v>68</v>
      </c>
      <c r="B84" s="79">
        <v>643.8601703438361</v>
      </c>
      <c r="C84" s="79"/>
      <c r="D84" s="79"/>
      <c r="E84" s="79">
        <f>+B84+C84-D84</f>
        <v>643.8601703438361</v>
      </c>
      <c r="F84" s="79">
        <f t="shared" ref="F84:G86" si="15">+E84</f>
        <v>643.8601703438361</v>
      </c>
      <c r="G84" s="79">
        <f t="shared" si="15"/>
        <v>643.8601703438361</v>
      </c>
      <c r="H84" s="57">
        <v>2.6066712037040814E-2</v>
      </c>
      <c r="I84" s="79">
        <f>+F84*H84</f>
        <v>16.783317652472821</v>
      </c>
      <c r="J84" s="79">
        <f>+H84*G84</f>
        <v>16.783317652472821</v>
      </c>
      <c r="K84" s="93"/>
      <c r="L84" s="93"/>
      <c r="M84" s="6">
        <f>+IF(H84&lt;15%,1,IF(H84&lt;30%,2,IF(H84&lt;50%,3,4)))</f>
        <v>1</v>
      </c>
    </row>
    <row r="85" spans="1:28" s="96" customFormat="1" ht="15" customHeight="1" outlineLevel="1" x14ac:dyDescent="0.2">
      <c r="A85" s="55" t="s">
        <v>69</v>
      </c>
      <c r="B85" s="79">
        <v>222.78181000000001</v>
      </c>
      <c r="C85" s="79"/>
      <c r="D85" s="79"/>
      <c r="E85" s="79">
        <f>+B85+C85-D85</f>
        <v>222.78181000000001</v>
      </c>
      <c r="F85" s="79">
        <f t="shared" si="15"/>
        <v>222.78181000000001</v>
      </c>
      <c r="G85" s="79">
        <f t="shared" si="15"/>
        <v>222.78181000000001</v>
      </c>
      <c r="H85" s="57">
        <v>2.9487499999999996E-2</v>
      </c>
      <c r="I85" s="79">
        <f>+F85*H85</f>
        <v>6.5692786223749993</v>
      </c>
      <c r="J85" s="79">
        <f>+H85*G85</f>
        <v>6.5692786223749993</v>
      </c>
      <c r="K85" s="94"/>
      <c r="L85" s="94"/>
      <c r="M85" s="6">
        <f>+IF(H85&lt;15%,1,IF(H85&lt;30%,2,IF(H85&lt;50%,3,4)))</f>
        <v>1</v>
      </c>
      <c r="N85" s="95"/>
      <c r="O85" s="95"/>
      <c r="P85" s="95"/>
      <c r="Q85" s="95"/>
      <c r="R85" s="95"/>
      <c r="S85" s="95"/>
      <c r="T85" s="95"/>
      <c r="U85" s="95"/>
      <c r="V85" s="95"/>
      <c r="W85" s="95"/>
      <c r="X85" s="95"/>
      <c r="Y85" s="95"/>
      <c r="Z85" s="95"/>
      <c r="AA85" s="95"/>
      <c r="AB85" s="95"/>
    </row>
    <row r="86" spans="1:28" ht="15" customHeight="1" outlineLevel="1" x14ac:dyDescent="0.25">
      <c r="A86" s="55" t="s">
        <v>70</v>
      </c>
      <c r="B86" s="79">
        <v>88.129279513306841</v>
      </c>
      <c r="C86" s="79"/>
      <c r="D86" s="79"/>
      <c r="E86" s="79">
        <f>+B86+C86-D86</f>
        <v>88.129279513306841</v>
      </c>
      <c r="F86" s="79">
        <f t="shared" si="15"/>
        <v>88.129279513306841</v>
      </c>
      <c r="G86" s="79">
        <f t="shared" si="15"/>
        <v>88.129279513306841</v>
      </c>
      <c r="H86" s="57">
        <v>7.2099999999999997E-2</v>
      </c>
      <c r="I86" s="79">
        <f>+F86*H86</f>
        <v>6.3541210529094228</v>
      </c>
      <c r="J86" s="79">
        <f>+H86*G86</f>
        <v>6.3541210529094228</v>
      </c>
      <c r="K86" s="94"/>
      <c r="L86" s="94"/>
      <c r="M86" s="6">
        <f>+IF(H86&lt;15%,1,IF(H86&lt;30%,2,IF(H86&lt;50%,3,4)))</f>
        <v>1</v>
      </c>
    </row>
    <row r="87" spans="1:28" s="136" customFormat="1" ht="14.25" customHeight="1" outlineLevel="1" x14ac:dyDescent="0.2">
      <c r="A87" s="55" t="s">
        <v>101</v>
      </c>
      <c r="B87" s="56">
        <v>3.2640000000000002</v>
      </c>
      <c r="C87" s="56">
        <v>3.9101819999999995E-2</v>
      </c>
      <c r="D87" s="56">
        <v>1.432948023</v>
      </c>
      <c r="E87" s="56">
        <f>B87+C87-D87</f>
        <v>1.8701537970000002</v>
      </c>
      <c r="F87" s="56">
        <f>E87</f>
        <v>1.8701537970000002</v>
      </c>
      <c r="G87" s="56">
        <f>IF(B87&gt;E87,F87,F87*B87/E87)</f>
        <v>1.8701537970000002</v>
      </c>
      <c r="H87" s="71">
        <v>0.17</v>
      </c>
      <c r="I87" s="56">
        <f>F87*H87</f>
        <v>0.31792614549000003</v>
      </c>
      <c r="J87" s="56">
        <f>G87*H87</f>
        <v>0.31792614549000003</v>
      </c>
      <c r="K87" s="94"/>
      <c r="L87" s="94"/>
      <c r="M87" s="6">
        <f>+IF(H87&lt;15%,1,IF(H87&lt;30%,2,IF(H87&lt;50%,3,4)))</f>
        <v>2</v>
      </c>
    </row>
    <row r="88" spans="1:28" ht="12.75" customHeight="1" x14ac:dyDescent="0.25">
      <c r="A88" s="80"/>
      <c r="B88" s="21"/>
      <c r="C88" s="21"/>
      <c r="D88" s="21"/>
      <c r="E88" s="21"/>
      <c r="F88" s="22"/>
      <c r="G88" s="22"/>
      <c r="H88" s="23"/>
      <c r="I88" s="24"/>
      <c r="J88" s="25"/>
      <c r="K88" s="26"/>
      <c r="L88" s="26"/>
      <c r="M88" s="6"/>
    </row>
    <row r="89" spans="1:28" ht="36.75" customHeight="1" x14ac:dyDescent="0.25">
      <c r="A89" s="27" t="s">
        <v>72</v>
      </c>
      <c r="B89" s="28"/>
      <c r="C89" s="28"/>
      <c r="D89" s="28"/>
      <c r="E89" s="28"/>
      <c r="F89" s="82"/>
      <c r="G89" s="82"/>
      <c r="H89" s="30"/>
      <c r="I89" s="82">
        <f>+I74+I82+I34+I6</f>
        <v>70.689619378894321</v>
      </c>
      <c r="J89" s="82">
        <f>+J74+J82+J34+J6</f>
        <v>55.048099533254288</v>
      </c>
      <c r="K89" s="31">
        <f>IF(I89=0,0,J89/I89)</f>
        <v>0.77872960721712281</v>
      </c>
      <c r="L89" s="31"/>
      <c r="M89" s="6"/>
    </row>
    <row r="90" spans="1:28" x14ac:dyDescent="0.25">
      <c r="A90" s="97" t="s">
        <v>73</v>
      </c>
      <c r="B90" s="98"/>
      <c r="C90" s="98"/>
      <c r="D90" s="98"/>
      <c r="E90" s="98"/>
      <c r="F90" s="98"/>
      <c r="G90" s="98"/>
      <c r="H90" s="99"/>
      <c r="I90" s="5"/>
      <c r="J90" s="5"/>
      <c r="K90" s="5"/>
      <c r="L90" s="5"/>
      <c r="M90" s="6"/>
    </row>
    <row r="91" spans="1:28" x14ac:dyDescent="0.25">
      <c r="A91" s="100" t="s">
        <v>74</v>
      </c>
      <c r="B91" s="101"/>
      <c r="C91" s="102"/>
      <c r="D91" s="102"/>
      <c r="E91" s="103"/>
      <c r="F91" s="103"/>
      <c r="G91" s="103"/>
      <c r="H91" s="104">
        <v>1</v>
      </c>
      <c r="I91" s="105">
        <f t="shared" ref="I91:J94" si="16">+SUMIF($M$7:$M$89,$H91,I$7:I$89)</f>
        <v>45.831630920366614</v>
      </c>
      <c r="J91" s="105">
        <f t="shared" si="16"/>
        <v>44.492525949013547</v>
      </c>
      <c r="K91" s="106">
        <f>+J91/I91</f>
        <v>0.97078207900391356</v>
      </c>
      <c r="L91" s="5"/>
      <c r="M91" s="6"/>
    </row>
    <row r="92" spans="1:28" x14ac:dyDescent="0.25">
      <c r="A92" s="107" t="s">
        <v>75</v>
      </c>
      <c r="B92" s="108"/>
      <c r="C92" s="109"/>
      <c r="D92" s="109"/>
      <c r="E92" s="110"/>
      <c r="F92" s="110"/>
      <c r="G92" s="110"/>
      <c r="H92" s="111">
        <v>2</v>
      </c>
      <c r="I92" s="112">
        <f t="shared" si="16"/>
        <v>4.0580892018915353</v>
      </c>
      <c r="J92" s="112">
        <f t="shared" si="16"/>
        <v>3.5881672820276598</v>
      </c>
      <c r="K92" s="113">
        <f>+J92/I92</f>
        <v>0.88420118521671776</v>
      </c>
      <c r="L92" s="5"/>
      <c r="M92" s="6"/>
    </row>
    <row r="93" spans="1:28" x14ac:dyDescent="0.25">
      <c r="A93" s="114" t="s">
        <v>76</v>
      </c>
      <c r="B93" s="110"/>
      <c r="C93" s="110"/>
      <c r="D93" s="110"/>
      <c r="E93" s="110"/>
      <c r="F93" s="110"/>
      <c r="G93" s="110"/>
      <c r="H93" s="115">
        <v>3</v>
      </c>
      <c r="I93" s="112">
        <f t="shared" si="16"/>
        <v>18.662985582211029</v>
      </c>
      <c r="J93" s="112">
        <f t="shared" si="16"/>
        <v>5.1430796519379385</v>
      </c>
      <c r="K93" s="113">
        <f>+J93/I93</f>
        <v>0.27557646815309983</v>
      </c>
      <c r="L93" s="5"/>
      <c r="M93" s="6"/>
    </row>
    <row r="94" spans="1:28" x14ac:dyDescent="0.25">
      <c r="A94" s="116" t="s">
        <v>77</v>
      </c>
      <c r="B94" s="117"/>
      <c r="C94" s="117"/>
      <c r="D94" s="117"/>
      <c r="E94" s="117"/>
      <c r="F94" s="117"/>
      <c r="G94" s="117"/>
      <c r="H94" s="118">
        <v>4</v>
      </c>
      <c r="I94" s="119">
        <f t="shared" si="16"/>
        <v>2.1369136744251462</v>
      </c>
      <c r="J94" s="119">
        <f t="shared" si="16"/>
        <v>1.8243266502751463</v>
      </c>
      <c r="K94" s="120">
        <f>+J94/I94</f>
        <v>0.8537203313867654</v>
      </c>
      <c r="L94" s="5"/>
      <c r="M94" s="6"/>
    </row>
    <row r="95" spans="1:28" ht="25.5" customHeight="1" x14ac:dyDescent="0.25">
      <c r="A95" s="303" t="s">
        <v>78</v>
      </c>
      <c r="B95" s="304"/>
      <c r="C95" s="304"/>
      <c r="D95" s="304"/>
      <c r="E95" s="304"/>
      <c r="F95" s="304"/>
      <c r="G95" s="304"/>
      <c r="H95" s="304"/>
      <c r="I95" s="304"/>
      <c r="J95" s="304"/>
      <c r="K95" s="304"/>
      <c r="L95" s="304"/>
      <c r="M95" s="6"/>
    </row>
    <row r="96" spans="1:28" x14ac:dyDescent="0.25">
      <c r="A96" s="5"/>
      <c r="B96" s="98"/>
      <c r="C96" s="98"/>
      <c r="D96" s="98"/>
      <c r="E96" s="98"/>
      <c r="F96" s="98"/>
      <c r="G96" s="98"/>
      <c r="H96" s="99"/>
      <c r="I96" s="5"/>
      <c r="J96" s="5"/>
      <c r="K96" s="5"/>
      <c r="L96" s="5"/>
      <c r="M96" s="6"/>
    </row>
  </sheetData>
  <mergeCells count="4">
    <mergeCell ref="B3:G3"/>
    <mergeCell ref="H3:H4"/>
    <mergeCell ref="I3:J3"/>
    <mergeCell ref="A95:L95"/>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B96"/>
  <sheetViews>
    <sheetView workbookViewId="0"/>
  </sheetViews>
  <sheetFormatPr defaultRowHeight="15" outlineLevelRow="2" outlineLevelCol="1" x14ac:dyDescent="0.25"/>
  <cols>
    <col min="1" max="1" width="46.42578125" customWidth="1"/>
    <col min="2" max="2" width="12.85546875" style="121" customWidth="1" outlineLevel="1"/>
    <col min="3" max="3" width="10.28515625" style="121" customWidth="1" outlineLevel="1"/>
    <col min="4" max="4" width="10.85546875" style="121" customWidth="1" outlineLevel="1"/>
    <col min="5" max="5" width="11" style="121" customWidth="1" outlineLevel="1"/>
    <col min="6" max="6" width="15.42578125" style="121" customWidth="1"/>
    <col min="7" max="7" width="14.85546875" style="121" customWidth="1"/>
    <col min="8" max="8" width="11.140625" style="122" customWidth="1"/>
    <col min="9" max="11" width="12.28515625" customWidth="1"/>
    <col min="12" max="12" width="11.42578125" customWidth="1"/>
    <col min="13" max="13" width="11.42578125" style="123" customWidth="1"/>
    <col min="14" max="14" width="11.85546875" customWidth="1"/>
    <col min="17" max="17" width="12.42578125" customWidth="1"/>
  </cols>
  <sheetData>
    <row r="1" spans="1:17" s="126" customFormat="1" x14ac:dyDescent="0.25">
      <c r="A1" s="1" t="str">
        <f>"Updated on " &amp; TEXT(Updates!B2,"[$-0809]dd mmm yyyy")</f>
        <v>Updated on 11 Nov 2022</v>
      </c>
      <c r="B1" s="130"/>
      <c r="C1" s="130"/>
      <c r="D1" s="130"/>
      <c r="E1" s="130"/>
      <c r="F1" s="130"/>
      <c r="G1" s="130"/>
      <c r="H1" s="131"/>
      <c r="I1" s="132"/>
      <c r="J1" s="132"/>
      <c r="K1" s="132"/>
      <c r="L1" s="35"/>
      <c r="M1" s="133"/>
    </row>
    <row r="2" spans="1:17" ht="45" x14ac:dyDescent="0.25">
      <c r="A2" s="8" t="s">
        <v>80</v>
      </c>
      <c r="B2" s="9"/>
      <c r="C2" s="9"/>
      <c r="D2" s="9"/>
      <c r="E2" s="9"/>
      <c r="F2" s="9"/>
      <c r="G2" s="9"/>
      <c r="H2" s="9"/>
      <c r="I2" s="9"/>
      <c r="J2" s="9"/>
      <c r="K2" s="9"/>
      <c r="L2" s="5"/>
      <c r="M2" s="6"/>
    </row>
    <row r="3" spans="1:17" ht="44.25" customHeight="1" x14ac:dyDescent="0.25">
      <c r="A3" s="10" t="s">
        <v>107</v>
      </c>
      <c r="B3" s="305" t="s">
        <v>2</v>
      </c>
      <c r="C3" s="306"/>
      <c r="D3" s="306"/>
      <c r="E3" s="306"/>
      <c r="F3" s="306"/>
      <c r="G3" s="307"/>
      <c r="H3" s="308" t="s">
        <v>3</v>
      </c>
      <c r="I3" s="301" t="s">
        <v>4</v>
      </c>
      <c r="J3" s="302"/>
      <c r="K3" s="11"/>
      <c r="L3" s="12"/>
      <c r="M3" s="6"/>
    </row>
    <row r="4" spans="1:17" ht="50.25" customHeight="1" x14ac:dyDescent="0.25">
      <c r="A4" s="14" t="s">
        <v>6</v>
      </c>
      <c r="B4" s="15" t="s">
        <v>7</v>
      </c>
      <c r="C4" s="15" t="s">
        <v>8</v>
      </c>
      <c r="D4" s="16" t="s">
        <v>9</v>
      </c>
      <c r="E4" s="16" t="s">
        <v>10</v>
      </c>
      <c r="F4" s="16" t="s">
        <v>11</v>
      </c>
      <c r="G4" s="16" t="s">
        <v>12</v>
      </c>
      <c r="H4" s="309"/>
      <c r="I4" s="17" t="s">
        <v>13</v>
      </c>
      <c r="J4" s="17" t="s">
        <v>14</v>
      </c>
      <c r="K4" s="16" t="s">
        <v>15</v>
      </c>
      <c r="L4" s="15" t="s">
        <v>16</v>
      </c>
      <c r="M4" s="6"/>
    </row>
    <row r="5" spans="1:17" ht="10.5" customHeight="1" x14ac:dyDescent="0.25">
      <c r="A5" s="20"/>
      <c r="B5" s="21"/>
      <c r="C5" s="21"/>
      <c r="D5" s="21"/>
      <c r="E5" s="21"/>
      <c r="F5" s="22"/>
      <c r="G5" s="22"/>
      <c r="H5" s="23"/>
      <c r="I5" s="24"/>
      <c r="J5" s="25"/>
      <c r="K5" s="26"/>
      <c r="L5" s="26"/>
      <c r="M5" s="6"/>
    </row>
    <row r="6" spans="1:17" ht="36" customHeight="1" x14ac:dyDescent="0.25">
      <c r="A6" s="27" t="s">
        <v>18</v>
      </c>
      <c r="B6" s="28"/>
      <c r="C6" s="28"/>
      <c r="D6" s="28"/>
      <c r="E6" s="28"/>
      <c r="F6" s="29">
        <f>F9+F21+F27</f>
        <v>155.58927501291336</v>
      </c>
      <c r="G6" s="29">
        <f>G9+G21+G27</f>
        <v>141.09018003542917</v>
      </c>
      <c r="H6" s="30"/>
      <c r="I6" s="30">
        <f>I9+I21+I27</f>
        <v>15.63264046814815</v>
      </c>
      <c r="J6" s="30">
        <f>J9+J21+J27</f>
        <v>14.229320088939362</v>
      </c>
      <c r="K6" s="31">
        <f>J6/I6</f>
        <v>0.91023139167896272</v>
      </c>
      <c r="L6" s="31">
        <f>+I6/$I$89</f>
        <v>0.22701706897511839</v>
      </c>
      <c r="M6" s="6"/>
    </row>
    <row r="7" spans="1:17" ht="8.25" customHeight="1" x14ac:dyDescent="0.25">
      <c r="A7" s="20"/>
      <c r="B7" s="21"/>
      <c r="C7" s="21"/>
      <c r="D7" s="21"/>
      <c r="E7" s="21"/>
      <c r="F7" s="22"/>
      <c r="G7" s="22"/>
      <c r="H7" s="23"/>
      <c r="I7" s="24"/>
      <c r="J7" s="25"/>
      <c r="K7" s="26"/>
      <c r="L7" s="26"/>
      <c r="M7" s="6"/>
    </row>
    <row r="8" spans="1:17" ht="8.25" hidden="1" customHeight="1" x14ac:dyDescent="0.25">
      <c r="A8" s="38"/>
      <c r="B8" s="39"/>
      <c r="C8" s="39"/>
      <c r="D8" s="39"/>
      <c r="E8" s="39"/>
      <c r="F8" s="40"/>
      <c r="G8" s="40"/>
      <c r="H8" s="41"/>
      <c r="I8" s="42"/>
      <c r="J8" s="43"/>
      <c r="K8" s="44"/>
      <c r="L8" s="45"/>
      <c r="M8" s="6"/>
    </row>
    <row r="9" spans="1:17" ht="22.5" customHeight="1" outlineLevel="1" x14ac:dyDescent="0.25">
      <c r="A9" s="48" t="s">
        <v>83</v>
      </c>
      <c r="B9" s="49">
        <f>SUM(B11:B19)</f>
        <v>256.51880984900004</v>
      </c>
      <c r="C9" s="49">
        <f t="shared" ref="C9:J9" si="0">SUM(C11:C19)</f>
        <v>17.059838647999996</v>
      </c>
      <c r="D9" s="49">
        <f t="shared" si="0"/>
        <v>35.022558521999997</v>
      </c>
      <c r="E9" s="49">
        <f t="shared" si="0"/>
        <v>238.55608997500002</v>
      </c>
      <c r="F9" s="49">
        <f t="shared" si="0"/>
        <v>152.05290181181846</v>
      </c>
      <c r="G9" s="49">
        <f t="shared" si="0"/>
        <v>138.17666434039353</v>
      </c>
      <c r="H9" s="50"/>
      <c r="I9" s="50">
        <f t="shared" si="0"/>
        <v>14.678100669300035</v>
      </c>
      <c r="J9" s="50">
        <f t="shared" si="0"/>
        <v>13.435911460168075</v>
      </c>
      <c r="K9" s="51">
        <f>J9/I9</f>
        <v>0.91537125700942634</v>
      </c>
      <c r="L9" s="51">
        <f>+I9/$I$89</f>
        <v>0.21315525031459698</v>
      </c>
      <c r="M9" s="6"/>
      <c r="N9" s="52"/>
      <c r="O9" s="52"/>
      <c r="P9" s="52"/>
      <c r="Q9" s="52"/>
    </row>
    <row r="10" spans="1:17" ht="15" customHeight="1" outlineLevel="1" x14ac:dyDescent="0.25">
      <c r="A10" s="20"/>
      <c r="B10" s="21"/>
      <c r="C10" s="21"/>
      <c r="D10" s="21"/>
      <c r="E10" s="21"/>
      <c r="F10" s="22"/>
      <c r="G10" s="22"/>
      <c r="H10" s="23"/>
      <c r="I10" s="24"/>
      <c r="J10" s="25"/>
      <c r="K10" s="26"/>
      <c r="L10" s="26"/>
      <c r="M10" s="6"/>
      <c r="N10" s="52"/>
      <c r="O10" s="52"/>
      <c r="P10" s="52"/>
      <c r="Q10" s="52"/>
    </row>
    <row r="11" spans="1:17" ht="15" customHeight="1" outlineLevel="1" x14ac:dyDescent="0.25">
      <c r="A11" s="55" t="str">
        <f>+'data from cereal masterfile'!A3</f>
        <v>Common  wheat</v>
      </c>
      <c r="B11" s="56">
        <f>+'data from cereal masterfile'!C3</f>
        <v>110.78742479200002</v>
      </c>
      <c r="C11" s="56">
        <f>+'data from cereal masterfile'!C15</f>
        <v>4.0202233859999996</v>
      </c>
      <c r="D11" s="56">
        <f>+'data from cereal masterfile'!C27</f>
        <v>22.657018689000001</v>
      </c>
      <c r="E11" s="56">
        <f>+B11+C11-D11</f>
        <v>92.150629489000025</v>
      </c>
      <c r="F11" s="56">
        <f>+'data from cereal masterfile'!C39</f>
        <v>38.152999999999999</v>
      </c>
      <c r="G11" s="56">
        <f>IF(B11&gt;E11,F11,F11*B11/E11)-C11</f>
        <v>34.132776614000001</v>
      </c>
      <c r="H11" s="57">
        <v>0.11</v>
      </c>
      <c r="I11" s="58">
        <f>F11*H11</f>
        <v>4.1968300000000003</v>
      </c>
      <c r="J11" s="58">
        <f>G11*H11</f>
        <v>3.75460542754</v>
      </c>
      <c r="K11" s="26"/>
      <c r="L11" s="26"/>
      <c r="M11" s="6">
        <f>+IF(H11&lt;15%,1,IF(H11&lt;30%,2,IF(H11&lt;50%,3,4)))</f>
        <v>1</v>
      </c>
      <c r="N11" s="73"/>
      <c r="O11" s="72"/>
      <c r="P11" s="52"/>
      <c r="Q11" s="52"/>
    </row>
    <row r="12" spans="1:17" ht="15" customHeight="1" outlineLevel="1" x14ac:dyDescent="0.25">
      <c r="A12" s="55" t="str">
        <f>+'data from cereal masterfile'!A4</f>
        <v>Barley</v>
      </c>
      <c r="B12" s="56">
        <f>+'data from cereal masterfile'!C4</f>
        <v>48.825297105000011</v>
      </c>
      <c r="C12" s="56">
        <f>+'data from cereal masterfile'!C16</f>
        <v>0.41356716600000004</v>
      </c>
      <c r="D12" s="56">
        <f>+'data from cereal masterfile'!C28</f>
        <v>7.8076972359999992</v>
      </c>
      <c r="E12" s="56">
        <f t="shared" ref="E12:E19" si="1">+B12+C12-D12</f>
        <v>41.431167035000016</v>
      </c>
      <c r="F12" s="56">
        <f>+'data from cereal masterfile'!C40</f>
        <v>33.971853000000003</v>
      </c>
      <c r="G12" s="56">
        <f>IF(B12&gt;E12,F12,F12*B12/E12)</f>
        <v>33.971853000000003</v>
      </c>
      <c r="H12" s="57">
        <v>0.1</v>
      </c>
      <c r="I12" s="58">
        <f t="shared" ref="I12:I19" si="2">F12*H12</f>
        <v>3.3971853000000003</v>
      </c>
      <c r="J12" s="58">
        <f t="shared" ref="J12:J19" si="3">G12*H12</f>
        <v>3.3971853000000003</v>
      </c>
      <c r="K12" s="26"/>
      <c r="L12" s="26"/>
      <c r="M12" s="6">
        <f t="shared" ref="M12:M19" si="4">+IF(H12&lt;15%,1,IF(H12&lt;30%,2,IF(H12&lt;50%,3,4)))</f>
        <v>1</v>
      </c>
      <c r="N12" s="73"/>
      <c r="O12" s="72"/>
      <c r="P12" s="52"/>
      <c r="Q12" s="52"/>
    </row>
    <row r="13" spans="1:17" ht="15" customHeight="1" outlineLevel="1" x14ac:dyDescent="0.25">
      <c r="A13" s="55" t="str">
        <f>+'data from cereal masterfile'!A5</f>
        <v>Durum</v>
      </c>
      <c r="B13" s="56">
        <f>+'data from cereal masterfile'!C5</f>
        <v>8.3079300000000025</v>
      </c>
      <c r="C13" s="56">
        <f>+'data from cereal masterfile'!C17</f>
        <v>1.5442239360000001</v>
      </c>
      <c r="D13" s="56">
        <f>+'data from cereal masterfile'!C29</f>
        <v>1.496209101</v>
      </c>
      <c r="E13" s="56">
        <f t="shared" si="1"/>
        <v>8.3559448350000025</v>
      </c>
      <c r="F13" s="56">
        <f>+'data from cereal masterfile'!C41</f>
        <v>0.20000000000000004</v>
      </c>
      <c r="G13" s="56">
        <f>IF(B13&gt;E13,F13,F13*B13/E13)</f>
        <v>0.19885076227887763</v>
      </c>
      <c r="H13" s="57">
        <v>0.12</v>
      </c>
      <c r="I13" s="58">
        <f t="shared" si="2"/>
        <v>2.4000000000000004E-2</v>
      </c>
      <c r="J13" s="58">
        <f t="shared" si="3"/>
        <v>2.3862091473465314E-2</v>
      </c>
      <c r="K13" s="26"/>
      <c r="L13" s="26"/>
      <c r="M13" s="6">
        <f t="shared" si="4"/>
        <v>1</v>
      </c>
      <c r="N13" s="73"/>
      <c r="O13" s="72"/>
      <c r="P13" s="52"/>
      <c r="Q13" s="52"/>
    </row>
    <row r="14" spans="1:17" ht="15" customHeight="1" outlineLevel="1" x14ac:dyDescent="0.25">
      <c r="A14" s="55" t="str">
        <f>+'data from cereal masterfile'!A6</f>
        <v>Maize</v>
      </c>
      <c r="B14" s="56">
        <f>+'data from cereal masterfile'!C6</f>
        <v>57.986867952000004</v>
      </c>
      <c r="C14" s="56">
        <f>+'data from cereal masterfile'!C18</f>
        <v>10.526237225999999</v>
      </c>
      <c r="D14" s="56">
        <f>+'data from cereal masterfile'!C30</f>
        <v>2.6931734679999999</v>
      </c>
      <c r="E14" s="56">
        <f t="shared" si="1"/>
        <v>65.819931710000006</v>
      </c>
      <c r="F14" s="56">
        <f>+'data from cereal masterfile'!C42</f>
        <v>57</v>
      </c>
      <c r="G14" s="56">
        <f>F14-C14*0.9</f>
        <v>47.526386496599997</v>
      </c>
      <c r="H14" s="57">
        <v>0.08</v>
      </c>
      <c r="I14" s="58">
        <f t="shared" si="2"/>
        <v>4.5600000000000005</v>
      </c>
      <c r="J14" s="58">
        <f t="shared" si="3"/>
        <v>3.8021109197279999</v>
      </c>
      <c r="K14" s="26"/>
      <c r="L14" s="26"/>
      <c r="M14" s="6">
        <f t="shared" si="4"/>
        <v>1</v>
      </c>
      <c r="N14" s="73"/>
      <c r="O14" s="72"/>
      <c r="P14" s="52"/>
      <c r="Q14" s="52"/>
    </row>
    <row r="15" spans="1:17" ht="15" customHeight="1" outlineLevel="1" x14ac:dyDescent="0.25">
      <c r="A15" s="55" t="str">
        <f>+'data from cereal masterfile'!A7</f>
        <v>Rye</v>
      </c>
      <c r="B15" s="56">
        <f>+'data from cereal masterfile'!C7</f>
        <v>8.476859976578254</v>
      </c>
      <c r="C15" s="56">
        <f>+'data from cereal masterfile'!C19</f>
        <v>9.6526785000000004E-2</v>
      </c>
      <c r="D15" s="56">
        <f>+'data from cereal masterfile'!C31</f>
        <v>0.129729231</v>
      </c>
      <c r="E15" s="56">
        <f t="shared" si="1"/>
        <v>8.4436575305782533</v>
      </c>
      <c r="F15" s="56">
        <f>+'data from cereal masterfile'!C43</f>
        <v>3.4</v>
      </c>
      <c r="G15" s="56">
        <f>IF(B15&gt;E15,F15,F15*B15/(B15+C15-D15))</f>
        <v>3.4</v>
      </c>
      <c r="H15" s="57">
        <v>0.11</v>
      </c>
      <c r="I15" s="58">
        <f t="shared" si="2"/>
        <v>0.374</v>
      </c>
      <c r="J15" s="58">
        <f t="shared" si="3"/>
        <v>0.374</v>
      </c>
      <c r="K15" s="26"/>
      <c r="L15" s="26"/>
      <c r="M15" s="6">
        <f t="shared" si="4"/>
        <v>1</v>
      </c>
      <c r="N15" s="73"/>
      <c r="O15" s="72"/>
      <c r="P15" s="52"/>
      <c r="Q15" s="52"/>
    </row>
    <row r="16" spans="1:17" ht="15" customHeight="1" outlineLevel="1" x14ac:dyDescent="0.25">
      <c r="A16" s="55" t="str">
        <f>+'data from cereal masterfile'!A8</f>
        <v>Sorghum</v>
      </c>
      <c r="B16" s="56">
        <f>+'data from cereal masterfile'!C8</f>
        <v>0.39660000000000006</v>
      </c>
      <c r="C16" s="56">
        <f>+'data from cereal masterfile'!C20</f>
        <v>0.31454375199999995</v>
      </c>
      <c r="D16" s="56">
        <f>+'data from cereal masterfile'!C32</f>
        <v>9.281025E-3</v>
      </c>
      <c r="E16" s="56">
        <f t="shared" si="1"/>
        <v>0.70186272699999996</v>
      </c>
      <c r="F16" s="56">
        <f>+'data from cereal masterfile'!C44</f>
        <v>0.67225284648470884</v>
      </c>
      <c r="G16" s="56">
        <f>IF(B16&gt;E16,F16,F16*B16/(B16+C16-D16))</f>
        <v>0.37986841110004638</v>
      </c>
      <c r="H16" s="57">
        <v>0.11</v>
      </c>
      <c r="I16" s="58">
        <f t="shared" si="2"/>
        <v>7.3947813113317967E-2</v>
      </c>
      <c r="J16" s="58">
        <f t="shared" si="3"/>
        <v>4.17855252210051E-2</v>
      </c>
      <c r="K16" s="26"/>
      <c r="L16" s="26"/>
      <c r="M16" s="6">
        <f t="shared" si="4"/>
        <v>1</v>
      </c>
      <c r="N16" s="73"/>
      <c r="O16" s="72"/>
      <c r="P16" s="52"/>
      <c r="Q16" s="52"/>
    </row>
    <row r="17" spans="1:17" ht="15" customHeight="1" outlineLevel="1" x14ac:dyDescent="0.25">
      <c r="A17" s="55" t="str">
        <f>+'data from cereal masterfile'!A9</f>
        <v>Oats</v>
      </c>
      <c r="B17" s="56">
        <f>+'data from cereal masterfile'!C9</f>
        <v>7.1050100000000009</v>
      </c>
      <c r="C17" s="56">
        <f>+'data from cereal masterfile'!C21</f>
        <v>2.1726709E-2</v>
      </c>
      <c r="D17" s="56">
        <f>+'data from cereal masterfile'!C33</f>
        <v>0.20531511900000002</v>
      </c>
      <c r="E17" s="56">
        <f t="shared" si="1"/>
        <v>6.9214215900000013</v>
      </c>
      <c r="F17" s="56">
        <f>+'data from cereal masterfile'!C45</f>
        <v>5.5163249722100787</v>
      </c>
      <c r="G17" s="56">
        <f>IF(B17&gt;E17,F17,F17*B17/(B17+C17-D17))</f>
        <v>5.5163249722100787</v>
      </c>
      <c r="H17" s="57">
        <v>0.11</v>
      </c>
      <c r="I17" s="58">
        <f t="shared" si="2"/>
        <v>0.60679574694310867</v>
      </c>
      <c r="J17" s="58">
        <f t="shared" si="3"/>
        <v>0.60679574694310867</v>
      </c>
      <c r="K17" s="26"/>
      <c r="L17" s="26"/>
      <c r="M17" s="6">
        <f t="shared" si="4"/>
        <v>1</v>
      </c>
      <c r="N17" s="73"/>
      <c r="O17" s="72"/>
      <c r="P17" s="52"/>
      <c r="Q17" s="52"/>
    </row>
    <row r="18" spans="1:17" ht="15" customHeight="1" outlineLevel="1" x14ac:dyDescent="0.25">
      <c r="A18" s="55" t="str">
        <f>+'data from cereal masterfile'!A10</f>
        <v>Triticale</v>
      </c>
      <c r="B18" s="56">
        <f>+'data from cereal masterfile'!C10</f>
        <v>9.7968500000000009</v>
      </c>
      <c r="C18" s="56">
        <f>+'data from cereal masterfile'!C22</f>
        <v>4.4486500000000002E-4</v>
      </c>
      <c r="D18" s="56">
        <f>+'data from cereal masterfile'!C34</f>
        <v>2.8942170000000001E-3</v>
      </c>
      <c r="E18" s="56">
        <f t="shared" si="1"/>
        <v>9.7944006480000017</v>
      </c>
      <c r="F18" s="56">
        <f>+'data from cereal masterfile'!C46</f>
        <v>8.7999704533678873</v>
      </c>
      <c r="G18" s="56">
        <f>IF(B18&gt;E18,F18,F18*B18/(B18+C18-D18))</f>
        <v>8.7999704533678873</v>
      </c>
      <c r="H18" s="57">
        <v>0.11</v>
      </c>
      <c r="I18" s="58">
        <f t="shared" si="2"/>
        <v>0.96799674987046758</v>
      </c>
      <c r="J18" s="58">
        <f t="shared" si="3"/>
        <v>0.96799674987046758</v>
      </c>
      <c r="K18" s="26"/>
      <c r="L18" s="26"/>
      <c r="M18" s="6">
        <f t="shared" si="4"/>
        <v>1</v>
      </c>
      <c r="N18" s="73"/>
      <c r="O18" s="72"/>
      <c r="P18" s="52"/>
      <c r="Q18" s="52"/>
    </row>
    <row r="19" spans="1:17" ht="15" customHeight="1" outlineLevel="1" x14ac:dyDescent="0.25">
      <c r="A19" s="55" t="str">
        <f>+'data from cereal masterfile'!A11</f>
        <v>Others</v>
      </c>
      <c r="B19" s="56">
        <f>+'data from cereal masterfile'!C11</f>
        <v>4.8359700234217478</v>
      </c>
      <c r="C19" s="56">
        <f>+'data from cereal masterfile'!C23</f>
        <v>0.12234482300000001</v>
      </c>
      <c r="D19" s="56">
        <f>+'data from cereal masterfile'!C35</f>
        <v>2.1240436000000001E-2</v>
      </c>
      <c r="E19" s="56">
        <f t="shared" si="1"/>
        <v>4.9370744104217472</v>
      </c>
      <c r="F19" s="56">
        <f>+'data from cereal masterfile'!C47</f>
        <v>4.3395005397558037</v>
      </c>
      <c r="G19" s="56">
        <f>IF(B19&gt;E19,F19,F19*B19/(B19+C19-D19))</f>
        <v>4.2506336308366217</v>
      </c>
      <c r="H19" s="57">
        <v>0.11</v>
      </c>
      <c r="I19" s="58">
        <f t="shared" si="2"/>
        <v>0.47734505937313843</v>
      </c>
      <c r="J19" s="58">
        <f t="shared" si="3"/>
        <v>0.46756969939202842</v>
      </c>
      <c r="K19" s="26"/>
      <c r="L19" s="26"/>
      <c r="M19" s="6">
        <f t="shared" si="4"/>
        <v>1</v>
      </c>
      <c r="N19" s="73"/>
      <c r="O19" s="72"/>
      <c r="P19" s="52"/>
      <c r="Q19" s="52"/>
    </row>
    <row r="20" spans="1:17" ht="12.75" customHeight="1" outlineLevel="1" x14ac:dyDescent="0.25">
      <c r="A20" s="20"/>
      <c r="B20" s="21"/>
      <c r="C20" s="21"/>
      <c r="D20" s="21"/>
      <c r="E20" s="21"/>
      <c r="F20" s="22"/>
      <c r="G20" s="22"/>
      <c r="H20" s="23"/>
      <c r="I20" s="24"/>
      <c r="J20" s="25"/>
      <c r="K20" s="26"/>
      <c r="L20" s="26"/>
      <c r="M20" s="6"/>
      <c r="N20" s="52"/>
      <c r="O20" s="52"/>
      <c r="P20" s="52"/>
      <c r="Q20" s="52"/>
    </row>
    <row r="21" spans="1:17" ht="22.5" customHeight="1" outlineLevel="1" x14ac:dyDescent="0.25">
      <c r="A21" s="48" t="s">
        <v>84</v>
      </c>
      <c r="B21" s="49">
        <f t="shared" ref="B21:G21" si="5">SUM(B23:B25)</f>
        <v>24.848650000000003</v>
      </c>
      <c r="C21" s="49">
        <f t="shared" si="5"/>
        <v>15.911710967000001</v>
      </c>
      <c r="D21" s="49">
        <f t="shared" si="5"/>
        <v>0.745395221</v>
      </c>
      <c r="E21" s="49">
        <f t="shared" si="5"/>
        <v>40.014965746000001</v>
      </c>
      <c r="F21" s="49">
        <f t="shared" si="5"/>
        <v>1.5108804</v>
      </c>
      <c r="G21" s="49">
        <f t="shared" si="5"/>
        <v>1.5108804</v>
      </c>
      <c r="H21" s="50"/>
      <c r="I21" s="50">
        <f>SUM(I23:I25)</f>
        <v>0.44870337416000006</v>
      </c>
      <c r="J21" s="50">
        <f>SUM(J23:J25)</f>
        <v>0.44870337416000006</v>
      </c>
      <c r="K21" s="51">
        <f>J21/I21</f>
        <v>1</v>
      </c>
      <c r="L21" s="51">
        <f>+I21/$I$89</f>
        <v>6.5160664987209205E-3</v>
      </c>
      <c r="M21" s="6"/>
      <c r="N21" s="52"/>
      <c r="O21" s="52"/>
      <c r="P21" s="52"/>
      <c r="Q21" s="52"/>
    </row>
    <row r="22" spans="1:17" ht="15" customHeight="1" outlineLevel="1" x14ac:dyDescent="0.25">
      <c r="A22" s="20" t="s">
        <v>85</v>
      </c>
      <c r="B22" s="21"/>
      <c r="C22" s="21"/>
      <c r="D22" s="21"/>
      <c r="E22" s="21"/>
      <c r="F22" s="22"/>
      <c r="G22" s="22"/>
      <c r="H22" s="23"/>
      <c r="I22" s="24"/>
      <c r="J22" s="25"/>
      <c r="K22" s="26"/>
      <c r="L22" s="26"/>
      <c r="M22" s="6"/>
      <c r="N22" s="52"/>
      <c r="O22" s="52"/>
      <c r="P22" s="52"/>
      <c r="Q22" s="52"/>
    </row>
    <row r="23" spans="1:17" ht="15" customHeight="1" outlineLevel="1" x14ac:dyDescent="0.25">
      <c r="A23" s="55" t="s">
        <v>22</v>
      </c>
      <c r="B23" s="56">
        <f>+'data from oilseed masterfile'!Q4</f>
        <v>0.95914999999999995</v>
      </c>
      <c r="C23" s="56">
        <f>+'data from oilseed masterfile'!Q12</f>
        <v>11.713046432000002</v>
      </c>
      <c r="D23" s="56">
        <f>+'data from oilseed masterfile'!Q16</f>
        <v>0.147662659</v>
      </c>
      <c r="E23" s="56">
        <f>+B23+C23-D23</f>
        <v>12.524533773000002</v>
      </c>
      <c r="F23" s="56">
        <v>1.2</v>
      </c>
      <c r="G23" s="56">
        <f>F23</f>
        <v>1.2</v>
      </c>
      <c r="H23" s="61">
        <v>0.33</v>
      </c>
      <c r="I23" s="58">
        <f>F23*H23</f>
        <v>0.39600000000000002</v>
      </c>
      <c r="J23" s="58">
        <f>G23*H23</f>
        <v>0.39600000000000002</v>
      </c>
      <c r="K23" s="26"/>
      <c r="L23" s="26"/>
      <c r="M23" s="6">
        <f>+IF(H23&lt;15%,1,IF(H23&lt;30%,2,IF(H23&lt;50%,3,4)))</f>
        <v>3</v>
      </c>
      <c r="N23" s="52"/>
      <c r="O23" s="52"/>
      <c r="P23" s="52"/>
      <c r="Q23" s="52"/>
    </row>
    <row r="24" spans="1:17" ht="15" customHeight="1" outlineLevel="1" x14ac:dyDescent="0.25">
      <c r="A24" s="55" t="s">
        <v>23</v>
      </c>
      <c r="B24" s="56">
        <f>+'data from oilseed masterfile'!Q5</f>
        <v>16.69096</v>
      </c>
      <c r="C24" s="56">
        <f>+'data from oilseed masterfile'!Q13</f>
        <v>3.9861286679999997</v>
      </c>
      <c r="D24" s="56">
        <f>+'data from oilseed masterfile'!Q17</f>
        <v>0.11578896899999999</v>
      </c>
      <c r="E24" s="56">
        <f>+B24+C24-D24</f>
        <v>20.561299698999999</v>
      </c>
      <c r="F24" s="56">
        <f>+B24*1%</f>
        <v>0.16690960000000002</v>
      </c>
      <c r="G24" s="56">
        <f>F24</f>
        <v>0.16690960000000002</v>
      </c>
      <c r="H24" s="62">
        <f>H47*0.57</f>
        <v>0.18809999999999999</v>
      </c>
      <c r="I24" s="58">
        <f>F24*H24</f>
        <v>3.1395695760000002E-2</v>
      </c>
      <c r="J24" s="58">
        <f>G24*H24</f>
        <v>3.1395695760000002E-2</v>
      </c>
      <c r="K24" s="26"/>
      <c r="L24" s="26"/>
      <c r="M24" s="6">
        <f>+IF(H24&lt;15%,1,IF(H24&lt;30%,2,IF(H24&lt;50%,3,4)))</f>
        <v>2</v>
      </c>
      <c r="N24" s="52"/>
      <c r="O24" s="52"/>
      <c r="P24" s="52"/>
      <c r="Q24" s="52"/>
    </row>
    <row r="25" spans="1:17" ht="15" customHeight="1" outlineLevel="1" x14ac:dyDescent="0.25">
      <c r="A25" s="55" t="s">
        <v>24</v>
      </c>
      <c r="B25" s="56">
        <f>+'data from oilseed masterfile'!Q6</f>
        <v>7.1985400000000004</v>
      </c>
      <c r="C25" s="56">
        <f>+'data from oilseed masterfile'!Q14</f>
        <v>0.21253586699999999</v>
      </c>
      <c r="D25" s="56">
        <f>+'data from oilseed masterfile'!Q18</f>
        <v>0.481943593</v>
      </c>
      <c r="E25" s="56">
        <f>+B25+C25-D25</f>
        <v>6.9291322740000005</v>
      </c>
      <c r="F25" s="56">
        <f>+B25*2%</f>
        <v>0.14397080000000001</v>
      </c>
      <c r="G25" s="56">
        <f>F25</f>
        <v>0.14397080000000001</v>
      </c>
      <c r="H25" s="57">
        <v>0.14799999999999999</v>
      </c>
      <c r="I25" s="58">
        <f>F25*H25</f>
        <v>2.1307678400000002E-2</v>
      </c>
      <c r="J25" s="58">
        <f>G25*H25</f>
        <v>2.1307678400000002E-2</v>
      </c>
      <c r="K25" s="26"/>
      <c r="L25" s="26"/>
      <c r="M25" s="6">
        <f>+IF(H25&lt;15%,1,IF(H25&lt;30%,2,IF(H25&lt;50%,3,4)))</f>
        <v>1</v>
      </c>
      <c r="N25" s="52"/>
      <c r="O25" s="52"/>
      <c r="P25" s="52"/>
      <c r="Q25" s="52"/>
    </row>
    <row r="26" spans="1:17" ht="12.75" customHeight="1" outlineLevel="1" x14ac:dyDescent="0.25">
      <c r="A26" s="20"/>
      <c r="B26" s="21"/>
      <c r="C26" s="21"/>
      <c r="D26" s="21"/>
      <c r="E26" s="21"/>
      <c r="F26" s="22"/>
      <c r="G26" s="22"/>
      <c r="H26" s="23"/>
      <c r="I26" s="24"/>
      <c r="J26" s="25"/>
      <c r="K26" s="26"/>
      <c r="L26" s="26"/>
      <c r="M26" s="6"/>
      <c r="N26" s="52"/>
      <c r="O26" s="52"/>
      <c r="P26" s="52"/>
      <c r="Q26" s="52"/>
    </row>
    <row r="27" spans="1:17" ht="20.25" customHeight="1" outlineLevel="1" x14ac:dyDescent="0.25">
      <c r="A27" s="48" t="s">
        <v>86</v>
      </c>
      <c r="B27" s="49">
        <f t="shared" ref="B27:G27" si="6">SUM(B29:B32)</f>
        <v>2.5632337000000001</v>
      </c>
      <c r="C27" s="49">
        <f t="shared" si="6"/>
        <v>1.2102724</v>
      </c>
      <c r="D27" s="49">
        <f t="shared" si="6"/>
        <v>0.35151350000000003</v>
      </c>
      <c r="E27" s="49">
        <f t="shared" si="6"/>
        <v>3.4219926000000003</v>
      </c>
      <c r="F27" s="49">
        <f t="shared" si="6"/>
        <v>2.0254928010949058</v>
      </c>
      <c r="G27" s="49">
        <f t="shared" si="6"/>
        <v>1.4026352950356467</v>
      </c>
      <c r="H27" s="50"/>
      <c r="I27" s="50">
        <f>SUM(I29:I32)</f>
        <v>0.50583642468811441</v>
      </c>
      <c r="J27" s="50">
        <f>SUM(J29:J32)</f>
        <v>0.34470525461128526</v>
      </c>
      <c r="K27" s="51">
        <f>J27/I27</f>
        <v>0.68145597625521248</v>
      </c>
      <c r="L27" s="51">
        <f>+I27/$I$89</f>
        <v>7.3457521618004807E-3</v>
      </c>
      <c r="M27" s="6"/>
      <c r="N27" s="52"/>
      <c r="O27" s="52"/>
      <c r="P27" s="52"/>
      <c r="Q27" s="52"/>
    </row>
    <row r="28" spans="1:17" ht="15.75" customHeight="1" outlineLevel="1" x14ac:dyDescent="0.25">
      <c r="A28" s="20"/>
      <c r="B28" s="21"/>
      <c r="C28" s="21"/>
      <c r="D28" s="21"/>
      <c r="E28" s="21"/>
      <c r="F28" s="22"/>
      <c r="G28" s="22"/>
      <c r="H28" s="23"/>
      <c r="I28" s="24"/>
      <c r="J28" s="25"/>
      <c r="K28" s="26"/>
      <c r="L28" s="26"/>
      <c r="M28" s="6"/>
      <c r="N28" s="52"/>
      <c r="O28" s="52"/>
      <c r="P28" s="52"/>
      <c r="Q28" s="52"/>
    </row>
    <row r="29" spans="1:17" ht="15" customHeight="1" outlineLevel="1" x14ac:dyDescent="0.25">
      <c r="A29" s="55" t="s">
        <v>87</v>
      </c>
      <c r="B29" s="56">
        <f>'data from protein balance sheet'!C4</f>
        <v>1.1485699999999999</v>
      </c>
      <c r="C29" s="56">
        <f>'data from protein balance sheet'!C20</f>
        <v>0.38848550000000004</v>
      </c>
      <c r="D29" s="56">
        <f>'data from protein balance sheet'!C28</f>
        <v>0.106795</v>
      </c>
      <c r="E29" s="56">
        <f>'data from protein balance sheet'!C12</f>
        <v>1.4302604999999999</v>
      </c>
      <c r="F29" s="56">
        <f>'data from protein balance sheet'!C36</f>
        <v>1.0223354205642912</v>
      </c>
      <c r="G29" s="56">
        <f>IF(B29&gt;E29,F29,F29*B29/E29)</f>
        <v>0.82098596304486338</v>
      </c>
      <c r="H29" s="63">
        <v>0.22500000000000001</v>
      </c>
      <c r="I29" s="58">
        <f>F29*H29</f>
        <v>0.23002546962696552</v>
      </c>
      <c r="J29" s="58">
        <f>G29*H29</f>
        <v>0.18472184168509426</v>
      </c>
      <c r="K29" s="26"/>
      <c r="L29" s="26"/>
      <c r="M29" s="6">
        <f>+IF(H29&lt;15%,1,IF(H29&lt;30%,2,IF(H29&lt;50%,3,4)))</f>
        <v>2</v>
      </c>
      <c r="N29" s="52"/>
      <c r="O29" s="52"/>
      <c r="P29" s="52"/>
      <c r="Q29" s="52"/>
    </row>
    <row r="30" spans="1:17" ht="15" customHeight="1" outlineLevel="1" x14ac:dyDescent="0.25">
      <c r="A30" s="55" t="s">
        <v>27</v>
      </c>
      <c r="B30" s="56">
        <f>'data from protein balance sheet'!C5</f>
        <v>0.66957</v>
      </c>
      <c r="C30" s="56">
        <f>'data from protein balance sheet'!C21</f>
        <v>1.64376E-2</v>
      </c>
      <c r="D30" s="56">
        <f>'data from protein balance sheet'!C29</f>
        <v>0.20608770000000001</v>
      </c>
      <c r="E30" s="56">
        <f>'data from protein balance sheet'!C13</f>
        <v>0.47991990000000007</v>
      </c>
      <c r="F30" s="56">
        <f>'data from protein balance sheet'!C37</f>
        <v>0.15720799284952186</v>
      </c>
      <c r="G30" s="56">
        <f>IF(B30&gt;E30,F30,F30*B30/E30)</f>
        <v>0.15720799284952186</v>
      </c>
      <c r="H30" s="63">
        <v>0.26</v>
      </c>
      <c r="I30" s="58">
        <f>F30*H30</f>
        <v>4.0874078140875687E-2</v>
      </c>
      <c r="J30" s="58">
        <f>G30*H30</f>
        <v>4.0874078140875687E-2</v>
      </c>
      <c r="K30" s="26"/>
      <c r="L30" s="26"/>
      <c r="M30" s="6">
        <f>+IF(H30&lt;15%,1,IF(H30&lt;30%,2,IF(H30&lt;50%,3,4)))</f>
        <v>2</v>
      </c>
      <c r="N30" s="52"/>
      <c r="O30" s="52"/>
      <c r="P30" s="52"/>
      <c r="Q30" s="52"/>
    </row>
    <row r="31" spans="1:17" ht="15" customHeight="1" outlineLevel="1" x14ac:dyDescent="0.25">
      <c r="A31" s="55" t="s">
        <v>28</v>
      </c>
      <c r="B31" s="56">
        <f>'data from protein balance sheet'!C7</f>
        <v>0.12999000000000002</v>
      </c>
      <c r="C31" s="56">
        <f>'data from protein balance sheet'!C23</f>
        <v>0.10473359999999998</v>
      </c>
      <c r="D31" s="56">
        <f>'data from protein balance sheet'!C31</f>
        <v>2.2830000000000002E-4</v>
      </c>
      <c r="E31" s="56">
        <f>'data from protein balance sheet'!C15</f>
        <v>0.23449530000000002</v>
      </c>
      <c r="F31" s="56">
        <f>'data from protein balance sheet'!C39</f>
        <v>0.23449530000000002</v>
      </c>
      <c r="G31" s="56">
        <f>IF(B31&gt;E31,F31,F31*B31/E31)</f>
        <v>0.12999000000000002</v>
      </c>
      <c r="H31" s="61">
        <v>0.35</v>
      </c>
      <c r="I31" s="58">
        <f>F31*H31</f>
        <v>8.2073355000000001E-2</v>
      </c>
      <c r="J31" s="58">
        <f>G31*H31</f>
        <v>4.5496500000000002E-2</v>
      </c>
      <c r="K31" s="26"/>
      <c r="L31" s="26"/>
      <c r="M31" s="6">
        <f>+IF(H31&lt;15%,1,IF(H31&lt;30%,2,IF(H31&lt;50%,3,4)))</f>
        <v>3</v>
      </c>
      <c r="N31" s="52"/>
      <c r="O31" s="52"/>
      <c r="P31" s="52"/>
      <c r="Q31" s="52"/>
    </row>
    <row r="32" spans="1:17" ht="15" customHeight="1" outlineLevel="1" x14ac:dyDescent="0.25">
      <c r="A32" s="55" t="s">
        <v>29</v>
      </c>
      <c r="B32" s="56">
        <f>'data from protein balance sheet'!C9</f>
        <v>0.61510370000000025</v>
      </c>
      <c r="C32" s="56">
        <f>'data from protein balance sheet'!C25</f>
        <v>0.70061570000000006</v>
      </c>
      <c r="D32" s="56">
        <f>'data from protein balance sheet'!C33</f>
        <v>3.8402499999999999E-2</v>
      </c>
      <c r="E32" s="56">
        <f>'data from protein balance sheet'!C17</f>
        <v>1.2773169000000004</v>
      </c>
      <c r="F32" s="56">
        <f>'data from protein balance sheet'!C41</f>
        <v>0.61145408768109277</v>
      </c>
      <c r="G32" s="56">
        <f>IF(B32&gt;E32,F32,F32*B32/E32)</f>
        <v>0.29445133914126131</v>
      </c>
      <c r="H32" s="63">
        <v>0.25</v>
      </c>
      <c r="I32" s="58">
        <f>F32*H32</f>
        <v>0.15286352192027319</v>
      </c>
      <c r="J32" s="58">
        <f>G32*H32</f>
        <v>7.3612834785315329E-2</v>
      </c>
      <c r="K32" s="26"/>
      <c r="L32" s="26"/>
      <c r="M32" s="6">
        <f>+IF(H32&lt;15%,1,IF(H32&lt;30%,2,IF(H32&lt;50%,3,4)))</f>
        <v>2</v>
      </c>
      <c r="N32" s="52"/>
      <c r="O32" s="52"/>
      <c r="P32" s="52"/>
      <c r="Q32" s="52"/>
    </row>
    <row r="33" spans="1:17" ht="12.75" customHeight="1" x14ac:dyDescent="0.25">
      <c r="A33" s="20"/>
      <c r="B33" s="21"/>
      <c r="C33" s="21"/>
      <c r="D33" s="21"/>
      <c r="E33" s="21"/>
      <c r="F33" s="22"/>
      <c r="G33" s="22"/>
      <c r="H33" s="23"/>
      <c r="I33" s="24"/>
      <c r="J33" s="25"/>
      <c r="K33" s="26"/>
      <c r="L33" s="26"/>
      <c r="M33" s="6"/>
      <c r="N33" s="52"/>
      <c r="O33" s="52"/>
      <c r="P33" s="52"/>
      <c r="Q33" s="52"/>
    </row>
    <row r="34" spans="1:17" ht="36" customHeight="1" x14ac:dyDescent="0.25">
      <c r="A34" s="27" t="s">
        <v>30</v>
      </c>
      <c r="B34" s="28"/>
      <c r="C34" s="28"/>
      <c r="D34" s="28"/>
      <c r="E34" s="28"/>
      <c r="F34" s="29">
        <f>+F36+F63</f>
        <v>73.240292902410758</v>
      </c>
      <c r="G34" s="29">
        <f>+G36+G63</f>
        <v>39.870969850712328</v>
      </c>
      <c r="H34" s="30"/>
      <c r="I34" s="30">
        <f>+I36+I63</f>
        <v>21.341976828100357</v>
      </c>
      <c r="J34" s="30">
        <f>+J36+J63</f>
        <v>8.0205090259654543</v>
      </c>
      <c r="K34" s="31">
        <f>IF(I34=0,0,J34/I34)</f>
        <v>0.3758090963441158</v>
      </c>
      <c r="L34" s="31">
        <f>+I34/$I$89</f>
        <v>0.30992800195987474</v>
      </c>
      <c r="M34" s="6"/>
      <c r="N34" s="52"/>
      <c r="O34" s="52"/>
      <c r="P34" s="52"/>
      <c r="Q34" s="52"/>
    </row>
    <row r="35" spans="1:17" ht="12.75" customHeight="1" x14ac:dyDescent="0.25">
      <c r="A35" s="20"/>
      <c r="B35" s="21"/>
      <c r="C35" s="21"/>
      <c r="D35" s="21"/>
      <c r="E35" s="21"/>
      <c r="F35" s="22"/>
      <c r="G35" s="22"/>
      <c r="H35" s="23"/>
      <c r="I35" s="24"/>
      <c r="J35" s="25"/>
      <c r="K35" s="26"/>
      <c r="L35" s="26"/>
      <c r="M35" s="6"/>
      <c r="N35" s="52"/>
      <c r="O35" s="52"/>
      <c r="P35" s="52"/>
      <c r="Q35" s="52"/>
    </row>
    <row r="36" spans="1:17" ht="18.75" customHeight="1" outlineLevel="1" x14ac:dyDescent="0.25">
      <c r="A36" s="48" t="s">
        <v>31</v>
      </c>
      <c r="B36" s="49">
        <f t="shared" ref="B36:E36" si="7">+B38+B45+B51+B57</f>
        <v>23.160247882480679</v>
      </c>
      <c r="C36" s="49">
        <f t="shared" si="7"/>
        <v>22.335455241999998</v>
      </c>
      <c r="D36" s="49">
        <f t="shared" si="7"/>
        <v>2.154393405</v>
      </c>
      <c r="E36" s="49">
        <f t="shared" si="7"/>
        <v>43.341309719480677</v>
      </c>
      <c r="F36" s="49">
        <f>+F38+F45+F51+F57</f>
        <v>43.212355294592697</v>
      </c>
      <c r="G36" s="49">
        <f>+G38+G45+G51+G57</f>
        <v>11.34428800689426</v>
      </c>
      <c r="H36" s="50"/>
      <c r="I36" s="50">
        <f>+I38+I45+I51+I57</f>
        <v>16.949550881643702</v>
      </c>
      <c r="J36" s="50">
        <f>+J38+J45+J51+J57</f>
        <v>3.8220040287688013</v>
      </c>
      <c r="K36" s="51">
        <f>IF(I36=0,0,J36/I36)</f>
        <v>0.22549293815849816</v>
      </c>
      <c r="L36" s="51">
        <f>+I36/$I$89</f>
        <v>0.24614123055125847</v>
      </c>
      <c r="M36" s="6"/>
      <c r="N36" s="52"/>
      <c r="O36" s="52"/>
      <c r="P36" s="52"/>
      <c r="Q36" s="52"/>
    </row>
    <row r="37" spans="1:17" ht="7.5" customHeight="1" outlineLevel="1" x14ac:dyDescent="0.25">
      <c r="A37" s="20"/>
      <c r="B37" s="21"/>
      <c r="C37" s="21"/>
      <c r="D37" s="21"/>
      <c r="E37" s="21"/>
      <c r="F37" s="22"/>
      <c r="G37" s="22"/>
      <c r="H37" s="23"/>
      <c r="I37" s="24"/>
      <c r="J37" s="25"/>
      <c r="K37" s="26"/>
      <c r="L37" s="26"/>
      <c r="M37" s="6"/>
      <c r="N37" s="52"/>
      <c r="O37" s="52"/>
      <c r="P37" s="52"/>
      <c r="Q37" s="52"/>
    </row>
    <row r="38" spans="1:17" ht="15" customHeight="1" outlineLevel="2" x14ac:dyDescent="0.25">
      <c r="A38" s="48" t="s">
        <v>88</v>
      </c>
      <c r="B38" s="49">
        <f t="shared" ref="B38:E38" si="8">B40+B41+B42+B43</f>
        <v>8.0011378763986851</v>
      </c>
      <c r="C38" s="49">
        <f t="shared" si="8"/>
        <v>15.91548907</v>
      </c>
      <c r="D38" s="49">
        <f t="shared" si="8"/>
        <v>1.253416632</v>
      </c>
      <c r="E38" s="49">
        <f t="shared" si="8"/>
        <v>22.663210314398686</v>
      </c>
      <c r="F38" s="49">
        <f>F40+F41+F42+F43</f>
        <v>22.53425588951071</v>
      </c>
      <c r="G38" s="49">
        <f>G40+G41+G42+G43</f>
        <v>-0.30078650059779999</v>
      </c>
      <c r="H38" s="50"/>
      <c r="I38" s="50">
        <f>SUM(I40:I43)</f>
        <v>10.311606092242318</v>
      </c>
      <c r="J38" s="50">
        <f>SUM(J40:J43)</f>
        <v>-0.12933819525705401</v>
      </c>
      <c r="K38" s="51">
        <f>IF(I38=0,0,J38/I38)</f>
        <v>-1.2542972850209862E-2</v>
      </c>
      <c r="L38" s="51">
        <f>+I38/$I$89</f>
        <v>0.14974505402695612</v>
      </c>
      <c r="M38" s="6"/>
      <c r="N38" s="73"/>
      <c r="O38" s="73"/>
      <c r="P38" s="52"/>
      <c r="Q38" s="52"/>
    </row>
    <row r="39" spans="1:17" ht="15" customHeight="1" outlineLevel="2" x14ac:dyDescent="0.25">
      <c r="A39" s="20"/>
      <c r="B39" s="21"/>
      <c r="C39" s="21"/>
      <c r="D39" s="21"/>
      <c r="E39" s="21"/>
      <c r="F39" s="22"/>
      <c r="G39" s="22"/>
      <c r="H39" s="23"/>
      <c r="I39" s="24"/>
      <c r="J39" s="25"/>
      <c r="K39" s="26"/>
      <c r="L39" s="26"/>
      <c r="M39" s="6"/>
      <c r="N39" s="73"/>
      <c r="O39" s="73"/>
      <c r="P39" s="52"/>
      <c r="Q39" s="52"/>
    </row>
    <row r="40" spans="1:17" ht="15" customHeight="1" outlineLevel="2" x14ac:dyDescent="0.25">
      <c r="A40" s="55" t="s">
        <v>33</v>
      </c>
      <c r="B40" s="56">
        <f>(MIN((B23-D23)*'data from oilseed masterfile'!Q40,B23-D23-G23)*0.79)</f>
        <v>-0.30692500061</v>
      </c>
      <c r="C40" s="56"/>
      <c r="D40" s="56"/>
      <c r="E40" s="56">
        <f>B40-D40</f>
        <v>-0.30692500061</v>
      </c>
      <c r="F40" s="56">
        <f>(B40-D40)*0.98</f>
        <v>-0.30078650059779999</v>
      </c>
      <c r="G40" s="56">
        <f>F40</f>
        <v>-0.30078650059779999</v>
      </c>
      <c r="H40" s="61">
        <v>0.43</v>
      </c>
      <c r="I40" s="58">
        <f>F40*H40</f>
        <v>-0.12933819525705401</v>
      </c>
      <c r="J40" s="58">
        <f>G40*H40</f>
        <v>-0.12933819525705401</v>
      </c>
      <c r="K40" s="26"/>
      <c r="L40" s="26"/>
      <c r="M40" s="6">
        <f>+IF(H40&lt;15%,1,IF(H40&lt;30%,2,IF(H40&lt;50%,3,4)))</f>
        <v>3</v>
      </c>
      <c r="N40" s="73"/>
      <c r="O40" s="73"/>
      <c r="P40" s="52"/>
      <c r="Q40" s="52"/>
    </row>
    <row r="41" spans="1:17" ht="15" customHeight="1" outlineLevel="2" x14ac:dyDescent="0.25">
      <c r="A41" s="55" t="s">
        <v>34</v>
      </c>
      <c r="B41" s="56">
        <f>(MIN(C23*'data from oilseed masterfile'!Q40,C23-(F23-G23))*0.79-B43)</f>
        <v>8.008062877008685</v>
      </c>
      <c r="C41" s="56"/>
      <c r="D41" s="56">
        <f>+'data from oilseed masterfile'!Q35</f>
        <v>1.253416632</v>
      </c>
      <c r="E41" s="56">
        <f>B41-D41</f>
        <v>6.7546462450086846</v>
      </c>
      <c r="F41" s="56">
        <f>(B41-D41)*0.98</f>
        <v>6.6195533201085111</v>
      </c>
      <c r="G41" s="56">
        <v>0</v>
      </c>
      <c r="H41" s="61">
        <v>0.45500000000000002</v>
      </c>
      <c r="I41" s="58">
        <f>F41*H41</f>
        <v>3.0118967606493725</v>
      </c>
      <c r="J41" s="58">
        <f>G41*H41</f>
        <v>0</v>
      </c>
      <c r="K41" s="26"/>
      <c r="L41" s="26"/>
      <c r="M41" s="6">
        <f>+IF(H41&lt;15%,1,IF(H41&lt;30%,2,IF(H41&lt;50%,3,4)))</f>
        <v>3</v>
      </c>
      <c r="N41" s="73"/>
      <c r="O41" s="73"/>
      <c r="P41" s="52"/>
      <c r="Q41" s="52"/>
    </row>
    <row r="42" spans="1:17" ht="15" customHeight="1" outlineLevel="2" x14ac:dyDescent="0.25">
      <c r="A42" s="55" t="s">
        <v>35</v>
      </c>
      <c r="B42" s="56"/>
      <c r="C42" s="56">
        <f>+'data from oilseed masterfile'!Q31</f>
        <v>15.91548907</v>
      </c>
      <c r="D42" s="56"/>
      <c r="E42" s="56">
        <f>C42</f>
        <v>15.91548907</v>
      </c>
      <c r="F42" s="56">
        <f>(C42-D42)</f>
        <v>15.91548907</v>
      </c>
      <c r="G42" s="56">
        <v>0</v>
      </c>
      <c r="H42" s="61">
        <v>0.45500000000000002</v>
      </c>
      <c r="I42" s="58">
        <f>F42*H42</f>
        <v>7.2415475268499998</v>
      </c>
      <c r="J42" s="58">
        <f>G42*H42</f>
        <v>0</v>
      </c>
      <c r="K42" s="26"/>
      <c r="L42" s="26"/>
      <c r="M42" s="6">
        <f>+IF(H42&lt;15%,1,IF(H42&lt;30%,2,IF(H42&lt;50%,3,4)))</f>
        <v>3</v>
      </c>
      <c r="N42" s="73"/>
      <c r="O42" s="73"/>
      <c r="P42" s="52"/>
      <c r="Q42" s="52"/>
    </row>
    <row r="43" spans="1:17" ht="15" customHeight="1" outlineLevel="2" x14ac:dyDescent="0.25">
      <c r="A43" s="55" t="s">
        <v>89</v>
      </c>
      <c r="B43" s="56">
        <f>F43</f>
        <v>0.3</v>
      </c>
      <c r="C43" s="56"/>
      <c r="D43" s="56"/>
      <c r="E43" s="56">
        <f>B43+C43-D43</f>
        <v>0.3</v>
      </c>
      <c r="F43" s="56">
        <v>0.3</v>
      </c>
      <c r="G43" s="56">
        <v>0</v>
      </c>
      <c r="H43" s="65">
        <v>0.625</v>
      </c>
      <c r="I43" s="58">
        <f>F43*H43</f>
        <v>0.1875</v>
      </c>
      <c r="J43" s="58">
        <f>G43*H43</f>
        <v>0</v>
      </c>
      <c r="K43" s="26">
        <f>IF(I43=0,0,J43/I43)</f>
        <v>0</v>
      </c>
      <c r="L43" s="26">
        <f>IF(J43=0,0,K43/J43)</f>
        <v>0</v>
      </c>
      <c r="M43" s="6">
        <f>+IF(H43&lt;15%,1,IF(H43&lt;30%,2,IF(H43&lt;50%,3,4)))</f>
        <v>4</v>
      </c>
      <c r="N43" s="73"/>
      <c r="O43" s="73"/>
      <c r="P43" s="52"/>
      <c r="Q43" s="52"/>
    </row>
    <row r="44" spans="1:17" ht="12.75" customHeight="1" outlineLevel="2" x14ac:dyDescent="0.25">
      <c r="A44" s="20"/>
      <c r="B44" s="21"/>
      <c r="C44" s="21"/>
      <c r="D44" s="21"/>
      <c r="E44" s="21"/>
      <c r="F44" s="22"/>
      <c r="G44" s="22"/>
      <c r="H44" s="23"/>
      <c r="I44" s="24"/>
      <c r="J44" s="25"/>
      <c r="K44" s="26"/>
      <c r="L44" s="26"/>
      <c r="M44" s="6"/>
      <c r="N44" s="73"/>
      <c r="O44" s="73"/>
      <c r="P44" s="52"/>
      <c r="Q44" s="52"/>
    </row>
    <row r="45" spans="1:17" ht="15" customHeight="1" outlineLevel="2" x14ac:dyDescent="0.25">
      <c r="A45" s="48" t="s">
        <v>90</v>
      </c>
      <c r="B45" s="49">
        <f t="shared" ref="B45:E45" si="9">B47+B48+B49</f>
        <v>11.263538334604503</v>
      </c>
      <c r="C45" s="49">
        <f t="shared" si="9"/>
        <v>0.50066498299999995</v>
      </c>
      <c r="D45" s="49">
        <f t="shared" si="9"/>
        <v>0.50673240399999997</v>
      </c>
      <c r="E45" s="49">
        <f t="shared" si="9"/>
        <v>11.257470913604504</v>
      </c>
      <c r="F45" s="49">
        <f>F47+F48+F49</f>
        <v>11.257470913604504</v>
      </c>
      <c r="G45" s="49">
        <f>G47+G48+G49</f>
        <v>8.5731933323762117</v>
      </c>
      <c r="H45" s="50"/>
      <c r="I45" s="50">
        <f>SUM(I47:I49)</f>
        <v>3.714965401489486</v>
      </c>
      <c r="J45" s="50">
        <f>SUM(J47:J49)</f>
        <v>2.8291537996841498</v>
      </c>
      <c r="K45" s="51">
        <f>IF(I45=0,0,J45/I45)</f>
        <v>0.76155589458513473</v>
      </c>
      <c r="L45" s="51">
        <f>+I45/$I$89</f>
        <v>5.3948695264148291E-2</v>
      </c>
      <c r="M45" s="6"/>
      <c r="N45" s="72"/>
      <c r="O45" s="73"/>
      <c r="P45" s="52"/>
      <c r="Q45" s="52"/>
    </row>
    <row r="46" spans="1:17" ht="15" customHeight="1" outlineLevel="2" x14ac:dyDescent="0.25">
      <c r="A46" s="20"/>
      <c r="B46" s="21"/>
      <c r="C46" s="21"/>
      <c r="D46" s="21"/>
      <c r="E46" s="21"/>
      <c r="F46" s="22"/>
      <c r="G46" s="22"/>
      <c r="H46" s="23"/>
      <c r="I46" s="24"/>
      <c r="J46" s="25"/>
      <c r="K46" s="26"/>
      <c r="L46" s="26"/>
      <c r="M46" s="6"/>
      <c r="N46" s="52"/>
      <c r="O46" s="52"/>
      <c r="P46" s="52"/>
      <c r="Q46" s="52"/>
    </row>
    <row r="47" spans="1:17" ht="15" customHeight="1" outlineLevel="2" x14ac:dyDescent="0.25">
      <c r="A47" s="55" t="s">
        <v>38</v>
      </c>
      <c r="B47" s="56">
        <f>(MIN((B24-D24)*'data from oilseed masterfile'!Q41,B24-D24-G24)*0.57)</f>
        <v>9.0799257363762109</v>
      </c>
      <c r="C47" s="56"/>
      <c r="D47" s="56">
        <f>+'data from oilseed masterfile'!Q36</f>
        <v>0.50673240399999997</v>
      </c>
      <c r="E47" s="56">
        <f>B47-D47</f>
        <v>8.5731933323762117</v>
      </c>
      <c r="F47" s="56">
        <f>(B47-D47)</f>
        <v>8.5731933323762117</v>
      </c>
      <c r="G47" s="56">
        <f>F47</f>
        <v>8.5731933323762117</v>
      </c>
      <c r="H47" s="61">
        <v>0.33</v>
      </c>
      <c r="I47" s="58">
        <f>F47*H47</f>
        <v>2.8291537996841498</v>
      </c>
      <c r="J47" s="58">
        <f>G47*H47</f>
        <v>2.8291537996841498</v>
      </c>
      <c r="K47" s="26"/>
      <c r="L47" s="26"/>
      <c r="M47" s="6">
        <f>+IF(H47&lt;15%,1,IF(H47&lt;30%,2,IF(H47&lt;50%,3,4)))</f>
        <v>3</v>
      </c>
      <c r="N47" s="52"/>
      <c r="O47" s="52"/>
      <c r="P47" s="52"/>
      <c r="Q47" s="52"/>
    </row>
    <row r="48" spans="1:17" ht="15" customHeight="1" outlineLevel="2" x14ac:dyDescent="0.25">
      <c r="A48" s="55" t="s">
        <v>39</v>
      </c>
      <c r="B48" s="56">
        <f>C24*'data from oilseed masterfile'!Q41*0.57</f>
        <v>2.1836125982282915</v>
      </c>
      <c r="C48" s="56"/>
      <c r="D48" s="56"/>
      <c r="E48" s="56">
        <f>B48-D48</f>
        <v>2.1836125982282915</v>
      </c>
      <c r="F48" s="56">
        <f>(B48-D48)</f>
        <v>2.1836125982282915</v>
      </c>
      <c r="G48" s="56">
        <v>0</v>
      </c>
      <c r="H48" s="61">
        <v>0.33</v>
      </c>
      <c r="I48" s="58">
        <f>F48*H48</f>
        <v>0.72059215741533622</v>
      </c>
      <c r="J48" s="58">
        <f>G48*H48</f>
        <v>0</v>
      </c>
      <c r="K48" s="26"/>
      <c r="L48" s="26"/>
      <c r="M48" s="6">
        <f>+IF(H48&lt;15%,1,IF(H48&lt;30%,2,IF(H48&lt;50%,3,4)))</f>
        <v>3</v>
      </c>
      <c r="N48" s="52"/>
      <c r="O48" s="52"/>
      <c r="P48" s="52"/>
      <c r="Q48" s="52"/>
    </row>
    <row r="49" spans="1:28" ht="15" customHeight="1" outlineLevel="2" x14ac:dyDescent="0.25">
      <c r="A49" s="55" t="s">
        <v>40</v>
      </c>
      <c r="B49" s="56"/>
      <c r="C49" s="56">
        <f>+'data from oilseed masterfile'!Q32</f>
        <v>0.50066498299999995</v>
      </c>
      <c r="D49" s="56"/>
      <c r="E49" s="56">
        <f>C49</f>
        <v>0.50066498299999995</v>
      </c>
      <c r="F49" s="56">
        <f>IF((C49-D49)&lt;0,0,C49-D49)</f>
        <v>0.50066498299999995</v>
      </c>
      <c r="G49" s="56">
        <v>0</v>
      </c>
      <c r="H49" s="61">
        <v>0.33</v>
      </c>
      <c r="I49" s="58">
        <f>F49*H49</f>
        <v>0.16521944439</v>
      </c>
      <c r="J49" s="58">
        <f>G49*H49</f>
        <v>0</v>
      </c>
      <c r="K49" s="26"/>
      <c r="L49" s="26"/>
      <c r="M49" s="6">
        <f>+IF(H49&lt;15%,1,IF(H49&lt;30%,2,IF(H49&lt;50%,3,4)))</f>
        <v>3</v>
      </c>
      <c r="N49" s="73"/>
      <c r="O49" s="73"/>
      <c r="P49" s="52"/>
      <c r="Q49" s="52"/>
      <c r="R49" s="52"/>
      <c r="S49" s="52"/>
      <c r="T49" s="52"/>
      <c r="U49" s="52"/>
      <c r="V49" s="52"/>
      <c r="W49" s="52"/>
      <c r="X49" s="52"/>
      <c r="Y49" s="52"/>
      <c r="Z49" s="52"/>
      <c r="AA49" s="52"/>
      <c r="AB49" s="52"/>
    </row>
    <row r="50" spans="1:28" ht="12.75" customHeight="1" outlineLevel="2" x14ac:dyDescent="0.25">
      <c r="A50" s="20"/>
      <c r="B50" s="21"/>
      <c r="C50" s="21"/>
      <c r="D50" s="21"/>
      <c r="E50" s="21"/>
      <c r="F50" s="22"/>
      <c r="G50" s="22"/>
      <c r="H50" s="23"/>
      <c r="I50" s="24"/>
      <c r="J50" s="25"/>
      <c r="K50" s="26"/>
      <c r="L50" s="26"/>
      <c r="M50" s="6"/>
      <c r="N50" s="73"/>
      <c r="O50" s="73"/>
      <c r="P50" s="52"/>
      <c r="Q50" s="52"/>
      <c r="R50" s="52"/>
      <c r="S50" s="52"/>
      <c r="T50" s="52"/>
      <c r="U50" s="52"/>
      <c r="V50" s="52"/>
      <c r="W50" s="52"/>
      <c r="X50" s="52"/>
      <c r="Y50" s="52"/>
      <c r="Z50" s="52"/>
      <c r="AA50" s="52"/>
      <c r="AB50" s="52"/>
    </row>
    <row r="51" spans="1:28" ht="15" customHeight="1" outlineLevel="2" x14ac:dyDescent="0.25">
      <c r="A51" s="48" t="s">
        <v>91</v>
      </c>
      <c r="B51" s="49">
        <f t="shared" ref="B51:E51" si="10">B53+B54+B55</f>
        <v>3.301571671477491</v>
      </c>
      <c r="C51" s="49">
        <f t="shared" si="10"/>
        <v>3.4832614609999992</v>
      </c>
      <c r="D51" s="49">
        <f t="shared" si="10"/>
        <v>0.26077008899999998</v>
      </c>
      <c r="E51" s="49">
        <f t="shared" si="10"/>
        <v>6.52406304347749</v>
      </c>
      <c r="F51" s="49">
        <f>F53+F54+F55</f>
        <v>6.52406304347749</v>
      </c>
      <c r="G51" s="49">
        <f>G53+G54+G55</f>
        <v>2.9395331451158482</v>
      </c>
      <c r="H51" s="50"/>
      <c r="I51" s="50">
        <f>SUM(I53:I55)</f>
        <v>2.3486626956518966</v>
      </c>
      <c r="J51" s="50">
        <f>SUM(J53:J55)</f>
        <v>1.0582319322417053</v>
      </c>
      <c r="K51" s="51">
        <f>IF(I51=0,0,J51/I51)</f>
        <v>0.45056786323588355</v>
      </c>
      <c r="L51" s="51">
        <f>+I51/$I$89</f>
        <v>3.4107259248012091E-2</v>
      </c>
      <c r="M51" s="6"/>
      <c r="N51" s="72"/>
      <c r="O51" s="73"/>
      <c r="P51" s="52"/>
      <c r="Q51" s="52"/>
      <c r="R51" s="52"/>
      <c r="S51" s="52"/>
      <c r="T51" s="52"/>
      <c r="U51" s="52"/>
      <c r="V51" s="52"/>
      <c r="W51" s="52"/>
      <c r="X51" s="52"/>
      <c r="Y51" s="52"/>
      <c r="Z51" s="52"/>
      <c r="AA51" s="52"/>
      <c r="AB51" s="52"/>
    </row>
    <row r="52" spans="1:28" ht="15" customHeight="1" outlineLevel="2" x14ac:dyDescent="0.25">
      <c r="A52" s="20"/>
      <c r="B52" s="21"/>
      <c r="C52" s="21"/>
      <c r="D52" s="21"/>
      <c r="E52" s="21"/>
      <c r="F52" s="22"/>
      <c r="G52" s="22"/>
      <c r="H52" s="23"/>
      <c r="I52" s="24"/>
      <c r="J52" s="25"/>
      <c r="K52" s="26"/>
      <c r="L52" s="26"/>
      <c r="M52" s="6"/>
      <c r="N52" s="52"/>
      <c r="O52" s="52"/>
      <c r="P52" s="52"/>
      <c r="Q52" s="52"/>
      <c r="R52" s="52"/>
      <c r="S52" s="52"/>
      <c r="T52" s="52"/>
      <c r="U52" s="52"/>
      <c r="V52" s="52"/>
      <c r="W52" s="52"/>
      <c r="X52" s="52"/>
      <c r="Y52" s="52"/>
      <c r="Z52" s="52"/>
      <c r="AA52" s="52"/>
      <c r="AB52" s="52"/>
    </row>
    <row r="53" spans="1:28" ht="15" customHeight="1" outlineLevel="2" x14ac:dyDescent="0.25">
      <c r="A53" s="55" t="s">
        <v>42</v>
      </c>
      <c r="B53" s="56">
        <f>MIN((B25-D25)*'data from oilseed masterfile'!Q42,B25-D25-F25)*55%</f>
        <v>3.2003032341158479</v>
      </c>
      <c r="C53" s="56"/>
      <c r="D53" s="56">
        <f>+'data from oilseed masterfile'!Q37</f>
        <v>0.26077008899999998</v>
      </c>
      <c r="E53" s="56">
        <f>B53-D53</f>
        <v>2.9395331451158482</v>
      </c>
      <c r="F53" s="56">
        <f>(B53-D53)</f>
        <v>2.9395331451158482</v>
      </c>
      <c r="G53" s="56">
        <f>F53</f>
        <v>2.9395331451158482</v>
      </c>
      <c r="H53" s="61">
        <v>0.36</v>
      </c>
      <c r="I53" s="58">
        <f>F53*H53</f>
        <v>1.0582319322417053</v>
      </c>
      <c r="J53" s="58">
        <f>G53*H53</f>
        <v>1.0582319322417053</v>
      </c>
      <c r="K53" s="26"/>
      <c r="L53" s="26"/>
      <c r="M53" s="6">
        <f>+IF(H53&lt;15%,1,IF(H53&lt;30%,2,IF(H53&lt;50%,3,4)))</f>
        <v>3</v>
      </c>
      <c r="N53" s="52"/>
      <c r="O53" s="52"/>
      <c r="P53" s="52"/>
      <c r="Q53" s="52"/>
      <c r="R53" s="52"/>
      <c r="S53" s="52"/>
      <c r="T53" s="52"/>
      <c r="U53" s="52"/>
      <c r="V53" s="52"/>
      <c r="W53" s="52"/>
      <c r="X53" s="52"/>
      <c r="Y53" s="52"/>
      <c r="Z53" s="52"/>
      <c r="AA53" s="52"/>
      <c r="AB53" s="52"/>
    </row>
    <row r="54" spans="1:28" ht="15" customHeight="1" outlineLevel="2" x14ac:dyDescent="0.25">
      <c r="A54" s="55" t="s">
        <v>43</v>
      </c>
      <c r="B54" s="56">
        <f>C25*'data from oilseed masterfile'!Q42*55%</f>
        <v>0.10126843736164295</v>
      </c>
      <c r="C54" s="56"/>
      <c r="D54" s="56"/>
      <c r="E54" s="56">
        <f>B54-D54</f>
        <v>0.10126843736164295</v>
      </c>
      <c r="F54" s="56">
        <f>(B54-D54)</f>
        <v>0.10126843736164295</v>
      </c>
      <c r="G54" s="56">
        <v>0</v>
      </c>
      <c r="H54" s="61">
        <v>0.36</v>
      </c>
      <c r="I54" s="58">
        <f>F54*H54</f>
        <v>3.6456637450191461E-2</v>
      </c>
      <c r="J54" s="58">
        <f>G54*H54</f>
        <v>0</v>
      </c>
      <c r="K54" s="26"/>
      <c r="L54" s="26"/>
      <c r="M54" s="6">
        <f>+IF(H54&lt;15%,1,IF(H54&lt;30%,2,IF(H54&lt;50%,3,4)))</f>
        <v>3</v>
      </c>
      <c r="N54" s="52"/>
      <c r="O54" s="52"/>
      <c r="P54" s="52"/>
      <c r="Q54" s="52"/>
      <c r="R54" s="52"/>
      <c r="S54" s="52"/>
      <c r="T54" s="52"/>
      <c r="U54" s="52"/>
      <c r="V54" s="52"/>
      <c r="W54" s="52"/>
      <c r="X54" s="52"/>
      <c r="Y54" s="52"/>
      <c r="Z54" s="52"/>
      <c r="AA54" s="52"/>
      <c r="AB54" s="52"/>
    </row>
    <row r="55" spans="1:28" ht="15" customHeight="1" outlineLevel="2" x14ac:dyDescent="0.25">
      <c r="A55" s="55" t="s">
        <v>44</v>
      </c>
      <c r="B55" s="56"/>
      <c r="C55" s="56">
        <f>+'data from oilseed masterfile'!Q33</f>
        <v>3.4832614609999992</v>
      </c>
      <c r="D55" s="56"/>
      <c r="E55" s="56">
        <f>C55</f>
        <v>3.4832614609999992</v>
      </c>
      <c r="F55" s="56">
        <f>C55-D55</f>
        <v>3.4832614609999992</v>
      </c>
      <c r="G55" s="56">
        <v>0</v>
      </c>
      <c r="H55" s="61">
        <v>0.36</v>
      </c>
      <c r="I55" s="58">
        <f>F55*H55</f>
        <v>1.2539741259599997</v>
      </c>
      <c r="J55" s="58">
        <f>G55*H55</f>
        <v>0</v>
      </c>
      <c r="K55" s="26"/>
      <c r="L55" s="26"/>
      <c r="M55" s="6">
        <f>+IF(H55&lt;15%,1,IF(H55&lt;30%,2,IF(H55&lt;50%,3,4)))</f>
        <v>3</v>
      </c>
      <c r="N55" s="73"/>
      <c r="O55" s="73"/>
      <c r="P55" s="52"/>
      <c r="Q55" s="52"/>
      <c r="R55" s="52"/>
      <c r="S55" s="52"/>
      <c r="T55" s="52"/>
      <c r="U55" s="52"/>
      <c r="V55" s="52"/>
      <c r="W55" s="52"/>
      <c r="X55" s="52"/>
      <c r="Y55" s="52"/>
      <c r="Z55" s="52"/>
      <c r="AA55" s="52"/>
      <c r="AB55" s="52"/>
    </row>
    <row r="56" spans="1:28" ht="12.75" customHeight="1" outlineLevel="2" x14ac:dyDescent="0.25">
      <c r="A56" s="20"/>
      <c r="B56" s="21"/>
      <c r="C56" s="21"/>
      <c r="D56" s="21"/>
      <c r="E56" s="21"/>
      <c r="F56" s="22"/>
      <c r="G56" s="22"/>
      <c r="H56" s="23"/>
      <c r="I56" s="24"/>
      <c r="J56" s="25"/>
      <c r="K56" s="26"/>
      <c r="L56" s="26"/>
      <c r="M56" s="6"/>
      <c r="N56" s="73"/>
      <c r="O56" s="73"/>
      <c r="P56" s="52"/>
      <c r="Q56" s="52"/>
      <c r="R56" s="52"/>
      <c r="S56" s="52"/>
      <c r="T56" s="52"/>
      <c r="U56" s="52"/>
      <c r="V56" s="52"/>
      <c r="W56" s="52"/>
      <c r="X56" s="52"/>
      <c r="Y56" s="52"/>
      <c r="Z56" s="52"/>
      <c r="AA56" s="52"/>
      <c r="AB56" s="52"/>
    </row>
    <row r="57" spans="1:28" ht="15" customHeight="1" outlineLevel="2" x14ac:dyDescent="0.25">
      <c r="A57" s="48" t="s">
        <v>92</v>
      </c>
      <c r="B57" s="49">
        <f t="shared" ref="B57:E57" si="11">B59+B60+B61</f>
        <v>0.59399999999999997</v>
      </c>
      <c r="C57" s="49">
        <f t="shared" si="11"/>
        <v>2.4360397279999999</v>
      </c>
      <c r="D57" s="49">
        <f t="shared" si="11"/>
        <v>0.13347428</v>
      </c>
      <c r="E57" s="49">
        <f t="shared" si="11"/>
        <v>2.8965654479999996</v>
      </c>
      <c r="F57" s="49">
        <f>F59+F60+F61</f>
        <v>2.8965654479999996</v>
      </c>
      <c r="G57" s="49">
        <f>G59+G60+G61</f>
        <v>0.13234803000000001</v>
      </c>
      <c r="H57" s="50"/>
      <c r="I57" s="50">
        <f>SUM(I59:I61)</f>
        <v>0.57431669226000004</v>
      </c>
      <c r="J57" s="50">
        <f>SUM(J59:J61)</f>
        <v>6.3956492100000012E-2</v>
      </c>
      <c r="K57" s="51">
        <f>IF(I57=0,0,J57/I57)</f>
        <v>0.11136101903694302</v>
      </c>
      <c r="L57" s="51">
        <f>+I57/$I$89</f>
        <v>8.3402220121419519E-3</v>
      </c>
      <c r="M57" s="6"/>
      <c r="N57" s="73"/>
      <c r="O57" s="73"/>
      <c r="P57" s="52"/>
      <c r="Q57" s="52"/>
      <c r="R57" s="52"/>
      <c r="S57" s="52"/>
      <c r="T57" s="52"/>
      <c r="U57" s="52"/>
      <c r="V57" s="52"/>
      <c r="W57" s="52"/>
      <c r="X57" s="52"/>
      <c r="Y57" s="52"/>
      <c r="Z57" s="52"/>
      <c r="AA57" s="52"/>
      <c r="AB57" s="52"/>
    </row>
    <row r="58" spans="1:28" ht="15" customHeight="1" outlineLevel="2" x14ac:dyDescent="0.25">
      <c r="A58" s="20"/>
      <c r="B58" s="21"/>
      <c r="C58" s="21"/>
      <c r="D58" s="21"/>
      <c r="E58" s="21"/>
      <c r="F58" s="22"/>
      <c r="G58" s="22"/>
      <c r="H58" s="23"/>
      <c r="I58" s="24"/>
      <c r="J58" s="25"/>
      <c r="K58" s="26"/>
      <c r="L58" s="26"/>
      <c r="M58" s="6"/>
      <c r="N58" s="73"/>
      <c r="O58" s="73"/>
      <c r="P58" s="52"/>
      <c r="Q58" s="52"/>
      <c r="R58" s="52"/>
      <c r="S58" s="52"/>
      <c r="T58" s="52"/>
      <c r="U58" s="52"/>
      <c r="V58" s="52"/>
      <c r="W58" s="52"/>
      <c r="X58" s="52"/>
      <c r="Y58" s="52"/>
      <c r="Z58" s="52"/>
      <c r="AA58" s="52"/>
      <c r="AB58" s="52"/>
    </row>
    <row r="59" spans="1:28" ht="15" customHeight="1" outlineLevel="2" x14ac:dyDescent="0.25">
      <c r="A59" s="55" t="s">
        <v>46</v>
      </c>
      <c r="B59" s="56">
        <v>0</v>
      </c>
      <c r="C59" s="56">
        <v>2.385965122</v>
      </c>
      <c r="D59" s="56">
        <v>7.1370100000000006E-2</v>
      </c>
      <c r="E59" s="56">
        <f>B59+C59-D59</f>
        <v>2.3145950219999998</v>
      </c>
      <c r="F59" s="56">
        <f>E59</f>
        <v>2.3145950219999998</v>
      </c>
      <c r="G59" s="56">
        <f>IF(B59&gt;E59,F59,F59*(B59-D59)/E59)</f>
        <v>-7.1370100000000006E-2</v>
      </c>
      <c r="H59" s="63">
        <v>0.16</v>
      </c>
      <c r="I59" s="58">
        <f>F59*H59</f>
        <v>0.37033520351999999</v>
      </c>
      <c r="J59" s="58">
        <f>G59*H59</f>
        <v>-1.1419216000000001E-2</v>
      </c>
      <c r="K59" s="26"/>
      <c r="L59" s="26"/>
      <c r="M59" s="6">
        <f>+IF(H59&lt;15%,1,IF(H59&lt;30%,2,IF(H59&lt;50%,3,4)))</f>
        <v>2</v>
      </c>
      <c r="N59" s="52"/>
      <c r="O59" s="52"/>
      <c r="P59" s="52"/>
      <c r="Q59" s="52"/>
      <c r="R59" s="52"/>
      <c r="S59" s="52"/>
      <c r="T59" s="52"/>
      <c r="U59" s="52"/>
      <c r="V59" s="52"/>
      <c r="W59" s="52"/>
      <c r="X59" s="52"/>
      <c r="Y59" s="52"/>
      <c r="Z59" s="52"/>
      <c r="AA59" s="52"/>
      <c r="AB59" s="52"/>
    </row>
    <row r="60" spans="1:28" ht="15" customHeight="1" outlineLevel="2" x14ac:dyDescent="0.25">
      <c r="A60" s="55" t="s">
        <v>47</v>
      </c>
      <c r="B60" s="56">
        <v>0.379</v>
      </c>
      <c r="C60" s="56">
        <v>5.4028770000000004E-3</v>
      </c>
      <c r="D60" s="56">
        <v>6.1505810000000005E-3</v>
      </c>
      <c r="E60" s="56">
        <f>B60+C60-D60</f>
        <v>0.37825229599999999</v>
      </c>
      <c r="F60" s="56">
        <f>E60</f>
        <v>0.37825229599999999</v>
      </c>
      <c r="G60" s="56">
        <v>0</v>
      </c>
      <c r="H60" s="61">
        <v>0.34</v>
      </c>
      <c r="I60" s="58">
        <f>F60*H60</f>
        <v>0.12860578064</v>
      </c>
      <c r="J60" s="58">
        <f>G60*H60</f>
        <v>0</v>
      </c>
      <c r="K60" s="26"/>
      <c r="L60" s="26"/>
      <c r="M60" s="6">
        <f>+IF(H60&lt;15%,1,IF(H60&lt;30%,2,IF(H60&lt;50%,3,4)))</f>
        <v>3</v>
      </c>
      <c r="N60" s="52"/>
      <c r="O60" s="52"/>
      <c r="P60" s="52"/>
      <c r="Q60" s="52"/>
      <c r="R60" s="52"/>
      <c r="S60" s="52"/>
      <c r="T60" s="52"/>
      <c r="U60" s="52"/>
      <c r="V60" s="52"/>
      <c r="W60" s="52"/>
      <c r="X60" s="52"/>
      <c r="Y60" s="52"/>
      <c r="Z60" s="52"/>
      <c r="AA60" s="52"/>
      <c r="AB60" s="52"/>
    </row>
    <row r="61" spans="1:28" ht="15" customHeight="1" outlineLevel="2" x14ac:dyDescent="0.25">
      <c r="A61" s="55" t="s">
        <v>48</v>
      </c>
      <c r="B61" s="56">
        <v>0.215</v>
      </c>
      <c r="C61" s="56">
        <v>4.4671729E-2</v>
      </c>
      <c r="D61" s="56">
        <v>5.5953599E-2</v>
      </c>
      <c r="E61" s="56">
        <f>B61+C61-D61</f>
        <v>0.20371813000000003</v>
      </c>
      <c r="F61" s="56">
        <f>E61</f>
        <v>0.20371813000000003</v>
      </c>
      <c r="G61" s="56">
        <f>IF(B61&gt;E61,F61,F61*(B61-D61)/E61)</f>
        <v>0.20371813000000003</v>
      </c>
      <c r="H61" s="61">
        <v>0.37</v>
      </c>
      <c r="I61" s="58">
        <f>F61*H61</f>
        <v>7.5375708100000008E-2</v>
      </c>
      <c r="J61" s="58">
        <f>G61*H61</f>
        <v>7.5375708100000008E-2</v>
      </c>
      <c r="K61" s="26"/>
      <c r="L61" s="26"/>
      <c r="M61" s="6">
        <f>+IF(H61&lt;15%,1,IF(H61&lt;30%,2,IF(H61&lt;50%,3,4)))</f>
        <v>3</v>
      </c>
      <c r="N61" s="52"/>
      <c r="O61" s="52"/>
      <c r="P61" s="52"/>
      <c r="Q61" s="52"/>
      <c r="R61" s="52"/>
      <c r="S61" s="52"/>
      <c r="T61" s="52"/>
      <c r="U61" s="52"/>
      <c r="V61" s="52"/>
      <c r="W61" s="52"/>
      <c r="X61" s="52"/>
      <c r="Y61" s="52"/>
      <c r="Z61" s="52"/>
      <c r="AA61" s="52"/>
      <c r="AB61" s="52"/>
    </row>
    <row r="62" spans="1:28" ht="12.75" customHeight="1" outlineLevel="2" x14ac:dyDescent="0.25">
      <c r="A62" s="20"/>
      <c r="B62" s="21"/>
      <c r="C62" s="21"/>
      <c r="D62" s="21"/>
      <c r="E62" s="21"/>
      <c r="F62" s="22"/>
      <c r="G62" s="22"/>
      <c r="H62" s="23"/>
      <c r="I62" s="24"/>
      <c r="J62" s="25"/>
      <c r="K62" s="26"/>
      <c r="L62" s="26"/>
      <c r="M62" s="6"/>
      <c r="N62" s="73"/>
      <c r="O62" s="73"/>
      <c r="P62" s="52"/>
      <c r="Q62" s="52"/>
      <c r="R62" s="52"/>
      <c r="S62" s="52"/>
      <c r="T62" s="52"/>
      <c r="U62" s="52"/>
      <c r="V62" s="52"/>
      <c r="W62" s="52"/>
      <c r="X62" s="52"/>
      <c r="Y62" s="52"/>
      <c r="Z62" s="52"/>
      <c r="AA62" s="52"/>
      <c r="AB62" s="52"/>
    </row>
    <row r="63" spans="1:28" ht="19.5" customHeight="1" outlineLevel="1" x14ac:dyDescent="0.25">
      <c r="A63" s="48" t="s">
        <v>49</v>
      </c>
      <c r="B63" s="49">
        <f t="shared" ref="B63:E63" si="12">SUM(B65:B72)</f>
        <v>30.877328049323292</v>
      </c>
      <c r="C63" s="49">
        <f t="shared" si="12"/>
        <v>3.621706434</v>
      </c>
      <c r="D63" s="49">
        <f t="shared" si="12"/>
        <v>0.91812464000000005</v>
      </c>
      <c r="E63" s="49">
        <f t="shared" si="12"/>
        <v>33.58090984332329</v>
      </c>
      <c r="F63" s="49">
        <f>SUM(F65:F72)</f>
        <v>30.02793760781806</v>
      </c>
      <c r="G63" s="49">
        <f>SUM(G65:G72)</f>
        <v>28.526681843818064</v>
      </c>
      <c r="H63" s="50"/>
      <c r="I63" s="50">
        <f>SUM(I65:I72)</f>
        <v>4.3924259464566529</v>
      </c>
      <c r="J63" s="50">
        <f>SUM(J65:J72)</f>
        <v>4.198504997196653</v>
      </c>
      <c r="K63" s="51">
        <f>IF(I63=0,0,J63/I63)</f>
        <v>0.95585106006933707</v>
      </c>
      <c r="L63" s="51">
        <f>+I63/$I$89</f>
        <v>6.3786771408616244E-2</v>
      </c>
      <c r="M63" s="6"/>
      <c r="N63" s="52"/>
      <c r="O63" s="52"/>
      <c r="P63" s="52"/>
      <c r="Q63" s="52"/>
      <c r="R63" s="52"/>
      <c r="S63" s="52"/>
      <c r="T63" s="52"/>
      <c r="U63" s="52"/>
      <c r="V63" s="52"/>
      <c r="W63" s="52"/>
      <c r="X63" s="52"/>
      <c r="Y63" s="52"/>
      <c r="Z63" s="52"/>
      <c r="AA63" s="52"/>
      <c r="AB63" s="52"/>
    </row>
    <row r="64" spans="1:28" ht="15" customHeight="1" outlineLevel="2" x14ac:dyDescent="0.25">
      <c r="A64" s="20"/>
      <c r="B64" s="21"/>
      <c r="C64" s="21"/>
      <c r="D64" s="21"/>
      <c r="E64" s="21"/>
      <c r="F64" s="22"/>
      <c r="G64" s="22"/>
      <c r="H64" s="23"/>
      <c r="I64" s="24"/>
      <c r="J64" s="25"/>
      <c r="K64" s="26"/>
      <c r="L64" s="26"/>
      <c r="M64" s="6"/>
      <c r="N64" s="52"/>
      <c r="O64" s="52"/>
      <c r="P64" s="52"/>
      <c r="Q64" s="52"/>
      <c r="R64" s="52"/>
      <c r="S64" s="52"/>
      <c r="T64" s="52"/>
      <c r="U64" s="52"/>
      <c r="V64" s="52"/>
      <c r="W64" s="52"/>
      <c r="X64" s="52"/>
      <c r="Y64" s="52"/>
      <c r="Z64" s="52"/>
      <c r="AA64" s="52"/>
      <c r="AB64" s="52"/>
    </row>
    <row r="65" spans="1:28" ht="15" customHeight="1" outlineLevel="2" x14ac:dyDescent="0.25">
      <c r="A65" s="55" t="s">
        <v>50</v>
      </c>
      <c r="B65" s="56">
        <v>3.77568581604352</v>
      </c>
      <c r="C65" s="56">
        <v>0.46731787699999999</v>
      </c>
      <c r="D65" s="56">
        <v>0.21403787099999999</v>
      </c>
      <c r="E65" s="56">
        <f t="shared" ref="E65:E67" si="13">B65+C65-D65</f>
        <v>4.0289658220435198</v>
      </c>
      <c r="F65" s="56">
        <f>E65</f>
        <v>4.0289658220435198</v>
      </c>
      <c r="G65" s="56">
        <f>+F65</f>
        <v>4.0289658220435198</v>
      </c>
      <c r="H65" s="63">
        <v>0.19</v>
      </c>
      <c r="I65" s="58">
        <f>F65*H65</f>
        <v>0.76550350618826879</v>
      </c>
      <c r="J65" s="58">
        <f>G65*H65</f>
        <v>0.76550350618826879</v>
      </c>
      <c r="K65" s="26"/>
      <c r="L65" s="26"/>
      <c r="M65" s="6">
        <f t="shared" ref="M65:M71" si="14">+IF(H65&lt;15%,1,IF(H65&lt;30%,2,IF(H65&lt;50%,3,4)))</f>
        <v>2</v>
      </c>
      <c r="N65" s="52"/>
      <c r="O65" s="52"/>
      <c r="P65" s="52"/>
      <c r="Q65" s="52"/>
      <c r="R65" s="52"/>
      <c r="S65" s="52"/>
      <c r="T65" s="52"/>
      <c r="U65" s="52"/>
      <c r="V65" s="52"/>
      <c r="W65" s="52"/>
      <c r="X65" s="52"/>
      <c r="Y65" s="52"/>
      <c r="Z65" s="52"/>
      <c r="AA65" s="52"/>
      <c r="AB65" s="52"/>
    </row>
    <row r="66" spans="1:28" ht="15.75" outlineLevel="2" x14ac:dyDescent="0.25">
      <c r="A66" s="55" t="s">
        <v>51</v>
      </c>
      <c r="B66" s="56">
        <v>0.955301938064124</v>
      </c>
      <c r="C66" s="56"/>
      <c r="D66" s="56"/>
      <c r="E66" s="56">
        <f t="shared" si="13"/>
        <v>0.955301938064124</v>
      </c>
      <c r="F66" s="56">
        <v>0.64342182673649229</v>
      </c>
      <c r="G66" s="56">
        <f>+F66</f>
        <v>0.64342182673649229</v>
      </c>
      <c r="H66" s="65">
        <v>0.73</v>
      </c>
      <c r="I66" s="58">
        <f>F66*H66</f>
        <v>0.46969793351763933</v>
      </c>
      <c r="J66" s="58">
        <f>G66*H66</f>
        <v>0.46969793351763933</v>
      </c>
      <c r="K66" s="26"/>
      <c r="L66" s="26"/>
      <c r="M66" s="6">
        <f t="shared" si="14"/>
        <v>4</v>
      </c>
      <c r="N66" s="52"/>
      <c r="O66" s="52"/>
      <c r="P66" s="52"/>
      <c r="Q66" s="52"/>
      <c r="R66" s="52"/>
      <c r="S66" s="52"/>
      <c r="T66" s="52"/>
      <c r="U66" s="52"/>
      <c r="V66" s="52"/>
      <c r="W66" s="52"/>
      <c r="X66" s="52"/>
      <c r="Y66" s="52"/>
      <c r="Z66" s="52"/>
      <c r="AA66" s="52"/>
      <c r="AB66" s="52"/>
    </row>
    <row r="67" spans="1:28" ht="29.25" customHeight="1" outlineLevel="2" x14ac:dyDescent="0.25">
      <c r="A67" s="66" t="s">
        <v>52</v>
      </c>
      <c r="B67" s="67">
        <f>'data from cereal masterfile'!C60*(C77*0.362+(1-C77)*0.276)</f>
        <v>3.0865158456918778</v>
      </c>
      <c r="C67" s="67">
        <v>0.40281553599999997</v>
      </c>
      <c r="D67" s="67">
        <v>0.212122914</v>
      </c>
      <c r="E67" s="67">
        <f t="shared" si="13"/>
        <v>3.2772084676918776</v>
      </c>
      <c r="F67" s="67">
        <f>E67</f>
        <v>3.2772084676918776</v>
      </c>
      <c r="G67" s="67">
        <f>IF(B67&gt;E67,F67,F67*(B67-D67)/E67)</f>
        <v>2.8743929316918777</v>
      </c>
      <c r="H67" s="68" t="s">
        <v>53</v>
      </c>
      <c r="I67" s="69">
        <f>(B67-D67)*0.3+C67*0.27</f>
        <v>0.97107807422756331</v>
      </c>
      <c r="J67" s="69">
        <f>(B67-D67)*0.3</f>
        <v>0.86231787950756333</v>
      </c>
      <c r="K67" s="26"/>
      <c r="L67" s="26"/>
      <c r="M67" s="6">
        <v>2</v>
      </c>
      <c r="N67" s="52"/>
      <c r="O67" s="52"/>
      <c r="P67" s="52"/>
      <c r="Q67" s="52"/>
      <c r="R67" s="52"/>
      <c r="S67" s="52"/>
      <c r="T67" s="52"/>
      <c r="U67" s="52"/>
      <c r="V67" s="52"/>
      <c r="W67" s="52"/>
      <c r="X67" s="52"/>
      <c r="Y67" s="52"/>
      <c r="Z67" s="52"/>
      <c r="AA67" s="52"/>
      <c r="AB67" s="52"/>
    </row>
    <row r="68" spans="1:28" ht="15" customHeight="1" outlineLevel="2" x14ac:dyDescent="0.25">
      <c r="A68" s="55" t="s">
        <v>54</v>
      </c>
      <c r="B68" s="56">
        <v>5.8624999999999998</v>
      </c>
      <c r="C68" s="56"/>
      <c r="D68" s="56"/>
      <c r="E68" s="56">
        <f>+B68+C68-D68</f>
        <v>5.8624999999999998</v>
      </c>
      <c r="F68" s="56">
        <f>+E68</f>
        <v>5.8624999999999998</v>
      </c>
      <c r="G68" s="56">
        <f>+F68</f>
        <v>5.8624999999999998</v>
      </c>
      <c r="H68" s="57">
        <v>5.3999999999999999E-2</v>
      </c>
      <c r="I68" s="58">
        <f>+F68*$H$68</f>
        <v>0.316575</v>
      </c>
      <c r="J68" s="58">
        <f>+G68*$H$68</f>
        <v>0.316575</v>
      </c>
      <c r="K68" s="26"/>
      <c r="L68" s="26"/>
      <c r="M68" s="6">
        <f t="shared" si="14"/>
        <v>1</v>
      </c>
      <c r="N68" s="52"/>
      <c r="O68" s="52"/>
      <c r="P68" s="52"/>
      <c r="Q68" s="52"/>
      <c r="R68" s="52"/>
      <c r="S68" s="52"/>
      <c r="T68" s="52"/>
      <c r="U68" s="52"/>
      <c r="V68" s="52"/>
      <c r="W68" s="52"/>
      <c r="X68" s="52"/>
      <c r="Y68" s="52"/>
      <c r="Z68" s="52"/>
      <c r="AA68" s="52"/>
      <c r="AB68" s="52"/>
    </row>
    <row r="69" spans="1:28" ht="15" customHeight="1" outlineLevel="2" x14ac:dyDescent="0.25">
      <c r="A69" s="55" t="s">
        <v>55</v>
      </c>
      <c r="B69" s="56">
        <f>('data from cereal masterfile'!C63+'data from cereal masterfile'!C65)*0.15</f>
        <v>7.2984281545637755</v>
      </c>
      <c r="C69" s="56">
        <v>2.9057942E-2</v>
      </c>
      <c r="D69" s="56">
        <v>0.12446210799999999</v>
      </c>
      <c r="E69" s="56">
        <f>B69+C69-D69</f>
        <v>7.2030239885637748</v>
      </c>
      <c r="F69" s="56">
        <f>E69</f>
        <v>7.2030239885637748</v>
      </c>
      <c r="G69" s="56">
        <f>IF(B69&gt;E69,F69,F69*(B69-D69)/E69)</f>
        <v>7.2030239885637748</v>
      </c>
      <c r="H69" s="71">
        <v>0.155</v>
      </c>
      <c r="I69" s="58">
        <f>F69*H69</f>
        <v>1.1164687182273851</v>
      </c>
      <c r="J69" s="58">
        <f>G69*H69</f>
        <v>1.1164687182273851</v>
      </c>
      <c r="K69" s="26"/>
      <c r="L69" s="26"/>
      <c r="M69" s="6">
        <f t="shared" si="14"/>
        <v>2</v>
      </c>
      <c r="N69" s="52"/>
      <c r="O69" s="52"/>
      <c r="P69" s="52"/>
      <c r="Q69" s="134"/>
      <c r="R69" s="52"/>
      <c r="S69" s="52"/>
      <c r="T69" s="52"/>
      <c r="U69" s="52"/>
      <c r="V69" s="52"/>
      <c r="W69" s="72"/>
      <c r="X69" s="73"/>
      <c r="Y69" s="73"/>
      <c r="Z69" s="73"/>
      <c r="AA69" s="74"/>
      <c r="AB69" s="74"/>
    </row>
    <row r="70" spans="1:28" ht="15.75" outlineLevel="2" x14ac:dyDescent="0.25">
      <c r="A70" s="55" t="s">
        <v>56</v>
      </c>
      <c r="B70" s="56">
        <v>0</v>
      </c>
      <c r="C70" s="56">
        <v>0.43618574799999993</v>
      </c>
      <c r="D70" s="56">
        <v>3.2179880000000001E-2</v>
      </c>
      <c r="E70" s="56">
        <f>B70+C70-D70</f>
        <v>0.40400586799999993</v>
      </c>
      <c r="F70" s="56">
        <f>E70</f>
        <v>0.40400586799999993</v>
      </c>
      <c r="G70" s="56">
        <f>IF(B70&gt;E70,F70,F70*B70/E70)</f>
        <v>0</v>
      </c>
      <c r="H70" s="57">
        <v>7.4999999999999997E-2</v>
      </c>
      <c r="I70" s="58">
        <f>F70*H70</f>
        <v>3.0300440099999992E-2</v>
      </c>
      <c r="J70" s="58">
        <f>G70*H70</f>
        <v>0</v>
      </c>
      <c r="K70" s="26"/>
      <c r="L70" s="26"/>
      <c r="M70" s="6">
        <f t="shared" si="14"/>
        <v>1</v>
      </c>
      <c r="N70" s="52"/>
      <c r="O70" s="52"/>
      <c r="P70" s="52"/>
      <c r="Q70" s="134"/>
      <c r="R70" s="135"/>
      <c r="S70" s="52"/>
      <c r="T70" s="52"/>
      <c r="U70" s="52"/>
      <c r="V70" s="52"/>
      <c r="W70" s="72"/>
      <c r="X70" s="73"/>
      <c r="Y70" s="72"/>
      <c r="Z70" s="75"/>
      <c r="AA70" s="76"/>
      <c r="AB70" s="74"/>
    </row>
    <row r="71" spans="1:28" ht="15" customHeight="1" outlineLevel="2" x14ac:dyDescent="0.25">
      <c r="A71" s="55" t="s">
        <v>57</v>
      </c>
      <c r="B71" s="56">
        <v>6.5992641966399983</v>
      </c>
      <c r="C71" s="56">
        <v>0.69443435999999992</v>
      </c>
      <c r="D71" s="56">
        <v>0.21010674500000001</v>
      </c>
      <c r="E71" s="56">
        <f>B71+C71-D71</f>
        <v>7.0835918116399981</v>
      </c>
      <c r="F71" s="56">
        <f>E71</f>
        <v>7.0835918116399981</v>
      </c>
      <c r="G71" s="56">
        <f>IF(B71&gt;E71,F71,F71*(B71-D71)/E71)</f>
        <v>6.3891574516399983</v>
      </c>
      <c r="H71" s="57">
        <v>7.9000000000000001E-2</v>
      </c>
      <c r="I71" s="58">
        <f>F71*H71</f>
        <v>0.5596037531195599</v>
      </c>
      <c r="J71" s="58">
        <f>G71*H71</f>
        <v>0.50474343867955984</v>
      </c>
      <c r="K71" s="26"/>
      <c r="L71" s="26"/>
      <c r="M71" s="6">
        <f t="shared" si="14"/>
        <v>1</v>
      </c>
      <c r="N71" s="52"/>
      <c r="O71" s="52"/>
      <c r="P71" s="52"/>
      <c r="Q71" s="52"/>
      <c r="R71" s="52"/>
      <c r="S71" s="52"/>
      <c r="T71" s="52"/>
      <c r="U71" s="52"/>
      <c r="V71" s="52"/>
      <c r="W71" s="52"/>
      <c r="X71" s="52"/>
      <c r="Y71" s="52"/>
      <c r="Z71" s="52"/>
      <c r="AA71" s="52"/>
      <c r="AB71" s="52"/>
    </row>
    <row r="72" spans="1:28" ht="30" customHeight="1" outlineLevel="2" x14ac:dyDescent="0.25">
      <c r="A72" s="66" t="s">
        <v>58</v>
      </c>
      <c r="B72" s="67">
        <v>3.2996320983199992</v>
      </c>
      <c r="C72" s="67">
        <v>1.5918949710000005</v>
      </c>
      <c r="D72" s="67">
        <v>0.12521512199999998</v>
      </c>
      <c r="E72" s="67">
        <f>B72+C72-D72</f>
        <v>4.7663119473199993</v>
      </c>
      <c r="F72" s="67">
        <f>E72*0.32</f>
        <v>1.5252198231423999</v>
      </c>
      <c r="G72" s="67">
        <f>+IF(B72&gt;F72,F72,B72-D72)</f>
        <v>1.5252198231423999</v>
      </c>
      <c r="H72" s="77" t="s">
        <v>95</v>
      </c>
      <c r="I72" s="69">
        <f>G72*0.107+(F72-G72)*0.042</f>
        <v>0.16319852107623678</v>
      </c>
      <c r="J72" s="69">
        <f>G72*0.107</f>
        <v>0.16319852107623678</v>
      </c>
      <c r="K72" s="26"/>
      <c r="L72" s="26"/>
      <c r="M72" s="6">
        <v>1</v>
      </c>
      <c r="N72" s="52"/>
      <c r="O72" s="52"/>
      <c r="P72" s="52"/>
      <c r="Q72" s="52"/>
      <c r="R72" s="52"/>
      <c r="S72" s="52"/>
      <c r="T72" s="52"/>
      <c r="U72" s="52"/>
      <c r="V72" s="52"/>
      <c r="W72" s="52"/>
      <c r="X72" s="52"/>
      <c r="Y72" s="52"/>
      <c r="Z72" s="52"/>
      <c r="AA72" s="52"/>
      <c r="AB72" s="52"/>
    </row>
    <row r="73" spans="1:28" ht="12.75" customHeight="1" x14ac:dyDescent="0.25">
      <c r="A73" s="20"/>
      <c r="B73" s="21"/>
      <c r="C73" s="21"/>
      <c r="D73" s="21"/>
      <c r="E73" s="21"/>
      <c r="F73" s="22"/>
      <c r="G73" s="22"/>
      <c r="H73" s="23"/>
      <c r="I73" s="24"/>
      <c r="J73" s="25"/>
      <c r="K73" s="26"/>
      <c r="L73" s="26"/>
      <c r="M73" s="6"/>
      <c r="N73" s="52"/>
      <c r="O73" s="52"/>
      <c r="P73" s="52"/>
      <c r="Q73" s="52"/>
      <c r="R73" s="52"/>
      <c r="S73" s="52"/>
      <c r="T73" s="52"/>
      <c r="U73" s="52"/>
      <c r="V73" s="52"/>
      <c r="W73" s="52"/>
      <c r="X73" s="52"/>
      <c r="Y73" s="52"/>
      <c r="Z73" s="52"/>
      <c r="AA73" s="52"/>
      <c r="AB73" s="52"/>
    </row>
    <row r="74" spans="1:28" ht="36.75" customHeight="1" x14ac:dyDescent="0.25">
      <c r="A74" s="27" t="s">
        <v>60</v>
      </c>
      <c r="B74" s="28"/>
      <c r="C74" s="28"/>
      <c r="D74" s="28"/>
      <c r="E74" s="28"/>
      <c r="F74" s="29">
        <f>SUM(F76:F80)</f>
        <v>6.5922505570649026</v>
      </c>
      <c r="G74" s="29">
        <f>SUM(G76:G80)</f>
        <v>6.3684195505027237</v>
      </c>
      <c r="H74" s="30"/>
      <c r="I74" s="30">
        <f>SUM(I76:I80)</f>
        <v>2.0419273603724344</v>
      </c>
      <c r="J74" s="30">
        <f>SUM(J76:J80)</f>
        <v>1.8987443799631971</v>
      </c>
      <c r="K74" s="31">
        <f>IF(I74=0,0,J74/I74)</f>
        <v>0.92987851419791856</v>
      </c>
      <c r="L74" s="31">
        <f>+I74/$I$89</f>
        <v>2.9652851375706397E-2</v>
      </c>
      <c r="M74" s="6"/>
      <c r="N74" s="52"/>
      <c r="O74" s="52"/>
      <c r="P74" s="52"/>
      <c r="Q74" s="52"/>
      <c r="R74" s="52"/>
      <c r="S74" s="52"/>
      <c r="T74" s="52"/>
      <c r="U74" s="52"/>
      <c r="V74" s="52"/>
      <c r="W74" s="52"/>
      <c r="X74" s="52"/>
      <c r="Y74" s="52"/>
      <c r="Z74" s="52"/>
      <c r="AA74" s="52"/>
      <c r="AB74" s="52"/>
    </row>
    <row r="75" spans="1:28" ht="15" customHeight="1" outlineLevel="1" x14ac:dyDescent="0.25">
      <c r="A75" s="20" t="s">
        <v>61</v>
      </c>
      <c r="B75" s="21"/>
      <c r="C75" s="21"/>
      <c r="D75" s="21"/>
      <c r="E75" s="21"/>
      <c r="F75" s="22"/>
      <c r="G75" s="22"/>
      <c r="H75" s="23"/>
      <c r="I75" s="24"/>
      <c r="J75" s="25"/>
      <c r="K75" s="26"/>
      <c r="L75" s="26"/>
      <c r="M75" s="6"/>
      <c r="N75" s="52"/>
      <c r="O75" s="52"/>
      <c r="P75" s="52"/>
      <c r="Q75" s="52"/>
      <c r="R75" s="52"/>
      <c r="S75" s="52"/>
      <c r="T75" s="52"/>
      <c r="U75" s="52"/>
      <c r="V75" s="52"/>
      <c r="W75" s="52"/>
      <c r="X75" s="52"/>
      <c r="Y75" s="52"/>
      <c r="Z75" s="52"/>
      <c r="AA75" s="52"/>
      <c r="AB75" s="52"/>
    </row>
    <row r="76" spans="1:28" ht="15" customHeight="1" outlineLevel="1" x14ac:dyDescent="0.25">
      <c r="A76" s="55" t="s">
        <v>96</v>
      </c>
      <c r="B76" s="56">
        <v>0.42699999999999999</v>
      </c>
      <c r="C76" s="56">
        <v>0.38657178600000003</v>
      </c>
      <c r="D76" s="56">
        <v>0.24819166300000001</v>
      </c>
      <c r="E76" s="56">
        <f>B76+C76-D76</f>
        <v>0.56538012299999996</v>
      </c>
      <c r="F76" s="56">
        <f>E76</f>
        <v>0.56538012299999996</v>
      </c>
      <c r="G76" s="56">
        <f>IF(B76&gt;E76,F76,F76*B76/E76)</f>
        <v>0.42699999999999999</v>
      </c>
      <c r="H76" s="65">
        <v>0.65</v>
      </c>
      <c r="I76" s="58">
        <f>F76*H76</f>
        <v>0.36749707994999997</v>
      </c>
      <c r="J76" s="58">
        <f>G76*H76</f>
        <v>0.27755000000000002</v>
      </c>
      <c r="K76" s="26"/>
      <c r="L76" s="26"/>
      <c r="M76" s="6">
        <f>+IF(H76&lt;15%,1,IF(H76&lt;30%,2,IF(H76&lt;50%,3,4)))</f>
        <v>4</v>
      </c>
      <c r="N76" s="52"/>
      <c r="O76" s="52"/>
      <c r="P76" s="52"/>
      <c r="Q76" s="52"/>
      <c r="R76" s="52"/>
      <c r="S76" s="52"/>
      <c r="T76" s="52"/>
      <c r="U76" s="52"/>
      <c r="V76" s="52"/>
      <c r="W76" s="52"/>
      <c r="X76" s="52"/>
      <c r="Y76" s="52"/>
      <c r="Z76" s="52"/>
      <c r="AA76" s="52"/>
      <c r="AB76" s="52"/>
    </row>
    <row r="77" spans="1:28" ht="15.75" outlineLevel="1" x14ac:dyDescent="0.25">
      <c r="A77" s="55" t="s">
        <v>97</v>
      </c>
      <c r="B77" s="56">
        <v>1.8012053170522706</v>
      </c>
      <c r="C77" s="56">
        <v>0.14092176200000001</v>
      </c>
      <c r="D77" s="56">
        <v>0.56985122399999999</v>
      </c>
      <c r="E77" s="56">
        <f>B77+C77-D77</f>
        <v>1.3722758550522707</v>
      </c>
      <c r="F77" s="56">
        <v>0.9</v>
      </c>
      <c r="G77" s="56">
        <v>0.9</v>
      </c>
      <c r="H77" s="57">
        <v>0.125</v>
      </c>
      <c r="I77" s="58">
        <f>F77*H77</f>
        <v>0.1125</v>
      </c>
      <c r="J77" s="58">
        <f>G77*H77</f>
        <v>0.1125</v>
      </c>
      <c r="K77" s="26"/>
      <c r="L77" s="26"/>
      <c r="M77" s="6">
        <f>+IF(H77&lt;15%,1,IF(H77&lt;30%,2,IF(H77&lt;50%,3,4)))</f>
        <v>1</v>
      </c>
      <c r="N77" s="52"/>
      <c r="O77" s="52"/>
      <c r="P77" s="52"/>
      <c r="Q77" s="52"/>
      <c r="R77" s="52"/>
      <c r="S77" s="52"/>
      <c r="T77" s="52"/>
      <c r="U77" s="52"/>
      <c r="V77" s="52"/>
      <c r="W77" s="52"/>
      <c r="X77" s="52"/>
      <c r="Y77" s="52"/>
      <c r="Z77" s="52"/>
      <c r="AA77" s="52"/>
      <c r="AB77" s="52"/>
    </row>
    <row r="78" spans="1:28" ht="15" customHeight="1" outlineLevel="1" x14ac:dyDescent="0.25">
      <c r="A78" s="55" t="s">
        <v>98</v>
      </c>
      <c r="B78" s="56">
        <v>1.0446930000000001</v>
      </c>
      <c r="C78" s="56">
        <v>1.8943858000000001E-2</v>
      </c>
      <c r="D78" s="56">
        <v>0.46770712600000003</v>
      </c>
      <c r="E78" s="56">
        <f>B78+C78-D78</f>
        <v>0.5959297320000001</v>
      </c>
      <c r="F78" s="56">
        <v>0.17</v>
      </c>
      <c r="G78" s="56">
        <f>+F78</f>
        <v>0.17</v>
      </c>
      <c r="H78" s="61">
        <v>0.34</v>
      </c>
      <c r="I78" s="58">
        <f>F78*H78</f>
        <v>5.7800000000000011E-2</v>
      </c>
      <c r="J78" s="58">
        <f>G78*H78</f>
        <v>5.7800000000000011E-2</v>
      </c>
      <c r="K78" s="26"/>
      <c r="L78" s="26"/>
      <c r="M78" s="6">
        <f>+IF(H78&lt;15%,1,IF(H78&lt;30%,2,IF(H78&lt;50%,3,4)))</f>
        <v>3</v>
      </c>
      <c r="N78" s="52"/>
      <c r="O78" s="52"/>
      <c r="P78" s="52"/>
      <c r="Q78" s="52"/>
      <c r="R78" s="52"/>
      <c r="S78" s="52"/>
      <c r="T78" s="52"/>
      <c r="U78" s="52"/>
      <c r="V78" s="52"/>
      <c r="W78" s="52"/>
      <c r="X78" s="52"/>
      <c r="Y78" s="52"/>
      <c r="Z78" s="52"/>
      <c r="AA78" s="52"/>
      <c r="AB78" s="52"/>
    </row>
    <row r="79" spans="1:28" ht="15" customHeight="1" outlineLevel="1" x14ac:dyDescent="0.25">
      <c r="A79" s="55" t="s">
        <v>99</v>
      </c>
      <c r="B79" s="56">
        <v>2.6636387904688652</v>
      </c>
      <c r="C79" s="56">
        <v>9.973950899999999E-2</v>
      </c>
      <c r="D79" s="56">
        <v>0.77876330399999993</v>
      </c>
      <c r="E79" s="56">
        <v>2.4226933600639513</v>
      </c>
      <c r="F79" s="56">
        <v>1.9568704340649026</v>
      </c>
      <c r="G79" s="56">
        <v>1.871419550502724</v>
      </c>
      <c r="H79" s="65">
        <v>0.623</v>
      </c>
      <c r="I79" s="58">
        <f>F79*H79</f>
        <v>1.2191302804224342</v>
      </c>
      <c r="J79" s="58">
        <f>G79*H79</f>
        <v>1.1658943799631971</v>
      </c>
      <c r="K79" s="78"/>
      <c r="L79" s="78"/>
      <c r="M79" s="6">
        <f>+IF(H79&lt;15%,1,IF(H79&lt;30%,2,IF(H79&lt;50%,3,4)))</f>
        <v>4</v>
      </c>
      <c r="N79" s="52"/>
      <c r="O79" s="52"/>
      <c r="P79" s="52"/>
      <c r="Q79" s="52"/>
      <c r="R79" s="52"/>
      <c r="S79" s="52"/>
      <c r="T79" s="52"/>
      <c r="U79" s="52"/>
      <c r="V79" s="52"/>
      <c r="W79" s="52"/>
      <c r="X79" s="52"/>
      <c r="Y79" s="52"/>
      <c r="Z79" s="52"/>
      <c r="AA79" s="52"/>
      <c r="AB79" s="52"/>
    </row>
    <row r="80" spans="1:28" ht="15" customHeight="1" outlineLevel="1" x14ac:dyDescent="0.25">
      <c r="A80" s="55" t="s">
        <v>100</v>
      </c>
      <c r="B80" s="79"/>
      <c r="C80" s="79"/>
      <c r="D80" s="79"/>
      <c r="E80" s="79"/>
      <c r="F80" s="79">
        <v>3</v>
      </c>
      <c r="G80" s="79">
        <v>3</v>
      </c>
      <c r="H80" s="57">
        <f>0.095</f>
        <v>9.5000000000000001E-2</v>
      </c>
      <c r="I80" s="58">
        <f>F80*H80</f>
        <v>0.28500000000000003</v>
      </c>
      <c r="J80" s="58">
        <f>G80*H80</f>
        <v>0.28500000000000003</v>
      </c>
      <c r="K80" s="26"/>
      <c r="L80" s="26"/>
      <c r="M80" s="6">
        <f>+IF(H80&lt;15%,1,IF(H80&lt;30%,2,IF(H80&lt;50%,3,4)))</f>
        <v>1</v>
      </c>
    </row>
    <row r="81" spans="1:28" ht="12.75" customHeight="1" x14ac:dyDescent="0.25">
      <c r="A81" s="80"/>
      <c r="B81" s="24"/>
      <c r="C81" s="24"/>
      <c r="D81" s="24"/>
      <c r="E81" s="24"/>
      <c r="F81" s="25"/>
      <c r="G81" s="25"/>
      <c r="H81" s="81"/>
      <c r="I81" s="24"/>
      <c r="J81" s="25"/>
      <c r="K81" s="26"/>
      <c r="L81" s="26"/>
      <c r="M81" s="6"/>
    </row>
    <row r="82" spans="1:28" ht="35.25" customHeight="1" x14ac:dyDescent="0.25">
      <c r="A82" s="27" t="s">
        <v>67</v>
      </c>
      <c r="B82" s="28"/>
      <c r="C82" s="28"/>
      <c r="D82" s="28"/>
      <c r="E82" s="28"/>
      <c r="F82" s="82">
        <f>SUM(F84:F87)</f>
        <v>963.24881136728561</v>
      </c>
      <c r="G82" s="82">
        <f>SUM(G84:G87)</f>
        <v>963.24881136728561</v>
      </c>
      <c r="H82" s="30"/>
      <c r="I82" s="82">
        <f>SUM(I84:I87)</f>
        <v>29.844534991365897</v>
      </c>
      <c r="J82" s="82">
        <f>SUM(J84:J87)</f>
        <v>29.844534991365897</v>
      </c>
      <c r="K82" s="31">
        <f>IF(I82=0,0,J82/I82)</f>
        <v>1</v>
      </c>
      <c r="L82" s="31">
        <f>+I82/$I$89</f>
        <v>0.43340207768930045</v>
      </c>
      <c r="M82" s="6"/>
    </row>
    <row r="83" spans="1:28" ht="15" customHeight="1" outlineLevel="1" x14ac:dyDescent="0.25">
      <c r="A83" s="83"/>
      <c r="B83" s="84"/>
      <c r="C83" s="84"/>
      <c r="D83" s="84"/>
      <c r="E83" s="84"/>
      <c r="F83" s="85"/>
      <c r="G83" s="85"/>
      <c r="H83" s="86"/>
      <c r="I83" s="87"/>
      <c r="J83" s="88"/>
      <c r="K83" s="89"/>
      <c r="L83" s="90"/>
      <c r="M83" s="6"/>
    </row>
    <row r="84" spans="1:28" ht="15" customHeight="1" outlineLevel="1" x14ac:dyDescent="0.25">
      <c r="A84" s="55" t="s">
        <v>68</v>
      </c>
      <c r="B84" s="79">
        <v>645.25105038270817</v>
      </c>
      <c r="C84" s="79"/>
      <c r="D84" s="79"/>
      <c r="E84" s="79">
        <f>+B84+C84-D84</f>
        <v>645.25105038270817</v>
      </c>
      <c r="F84" s="79">
        <f t="shared" ref="F84:G86" si="15">+E84</f>
        <v>645.25105038270817</v>
      </c>
      <c r="G84" s="79">
        <f t="shared" si="15"/>
        <v>645.25105038270817</v>
      </c>
      <c r="H84" s="57">
        <v>2.6066712037040814E-2</v>
      </c>
      <c r="I84" s="79">
        <f>+F84*H84</f>
        <v>16.819573321924167</v>
      </c>
      <c r="J84" s="79">
        <f>+H84*G84</f>
        <v>16.819573321924167</v>
      </c>
      <c r="K84" s="93"/>
      <c r="L84" s="93"/>
      <c r="M84" s="6">
        <f>+IF(H84&lt;15%,1,IF(H84&lt;30%,2,IF(H84&lt;50%,3,4)))</f>
        <v>1</v>
      </c>
    </row>
    <row r="85" spans="1:28" s="96" customFormat="1" ht="15" customHeight="1" outlineLevel="1" x14ac:dyDescent="0.2">
      <c r="A85" s="55" t="s">
        <v>69</v>
      </c>
      <c r="B85" s="79">
        <v>236.07339000000002</v>
      </c>
      <c r="C85" s="79"/>
      <c r="D85" s="79"/>
      <c r="E85" s="79">
        <f>+B85+C85-D85</f>
        <v>236.07339000000002</v>
      </c>
      <c r="F85" s="79">
        <f t="shared" si="15"/>
        <v>236.07339000000002</v>
      </c>
      <c r="G85" s="79">
        <f t="shared" si="15"/>
        <v>236.07339000000002</v>
      </c>
      <c r="H85" s="57">
        <v>2.9487499999999996E-2</v>
      </c>
      <c r="I85" s="79">
        <f>+F85*H85</f>
        <v>6.9612140876249997</v>
      </c>
      <c r="J85" s="79">
        <f>+H85*G85</f>
        <v>6.9612140876249997</v>
      </c>
      <c r="K85" s="94"/>
      <c r="L85" s="94"/>
      <c r="M85" s="6">
        <f>+IF(H85&lt;15%,1,IF(H85&lt;30%,2,IF(H85&lt;50%,3,4)))</f>
        <v>1</v>
      </c>
      <c r="N85" s="95"/>
      <c r="O85" s="95"/>
      <c r="P85" s="95"/>
      <c r="Q85" s="95"/>
      <c r="R85" s="95"/>
      <c r="S85" s="95"/>
      <c r="T85" s="95"/>
      <c r="U85" s="95"/>
      <c r="V85" s="95"/>
      <c r="W85" s="95"/>
      <c r="X85" s="95"/>
      <c r="Y85" s="95"/>
      <c r="Z85" s="95"/>
      <c r="AA85" s="95"/>
      <c r="AB85" s="95"/>
    </row>
    <row r="86" spans="1:28" ht="15" customHeight="1" outlineLevel="1" x14ac:dyDescent="0.25">
      <c r="A86" s="55" t="s">
        <v>70</v>
      </c>
      <c r="B86" s="79">
        <v>80.320689331577427</v>
      </c>
      <c r="C86" s="79"/>
      <c r="D86" s="79"/>
      <c r="E86" s="79">
        <f>+B86+C86-D86</f>
        <v>80.320689331577427</v>
      </c>
      <c r="F86" s="79">
        <f t="shared" si="15"/>
        <v>80.320689331577427</v>
      </c>
      <c r="G86" s="79">
        <f t="shared" si="15"/>
        <v>80.320689331577427</v>
      </c>
      <c r="H86" s="57">
        <v>7.2099999999999997E-2</v>
      </c>
      <c r="I86" s="79">
        <f>+F86*H86</f>
        <v>5.7911217008067322</v>
      </c>
      <c r="J86" s="79">
        <f>+H86*G86</f>
        <v>5.7911217008067322</v>
      </c>
      <c r="K86" s="94"/>
      <c r="L86" s="94"/>
      <c r="M86" s="6">
        <f>+IF(H86&lt;15%,1,IF(H86&lt;30%,2,IF(H86&lt;50%,3,4)))</f>
        <v>1</v>
      </c>
    </row>
    <row r="87" spans="1:28" s="136" customFormat="1" ht="14.25" customHeight="1" outlineLevel="1" x14ac:dyDescent="0.2">
      <c r="A87" s="55" t="s">
        <v>101</v>
      </c>
      <c r="B87" s="56">
        <v>3.2350000000000003</v>
      </c>
      <c r="C87" s="56">
        <v>3.7299795999999996E-2</v>
      </c>
      <c r="D87" s="56">
        <v>1.668618143</v>
      </c>
      <c r="E87" s="56">
        <f>B87+C87-D87</f>
        <v>1.6036816530000004</v>
      </c>
      <c r="F87" s="56">
        <f>E87</f>
        <v>1.6036816530000004</v>
      </c>
      <c r="G87" s="56">
        <f>IF(B87&gt;E87,F87,F87*B87/E87)</f>
        <v>1.6036816530000004</v>
      </c>
      <c r="H87" s="71">
        <v>0.17</v>
      </c>
      <c r="I87" s="56">
        <f>F87*H87</f>
        <v>0.27262588101000007</v>
      </c>
      <c r="J87" s="56">
        <f>G87*H87</f>
        <v>0.27262588101000007</v>
      </c>
      <c r="K87" s="94"/>
      <c r="L87" s="94"/>
      <c r="M87" s="6">
        <f>+IF(H87&lt;15%,1,IF(H87&lt;30%,2,IF(H87&lt;50%,3,4)))</f>
        <v>2</v>
      </c>
    </row>
    <row r="88" spans="1:28" ht="12.75" customHeight="1" x14ac:dyDescent="0.25">
      <c r="A88" s="80"/>
      <c r="B88" s="21"/>
      <c r="C88" s="21"/>
      <c r="D88" s="21"/>
      <c r="E88" s="21"/>
      <c r="F88" s="22"/>
      <c r="G88" s="22"/>
      <c r="H88" s="23"/>
      <c r="I88" s="24"/>
      <c r="J88" s="25"/>
      <c r="K88" s="26"/>
      <c r="L88" s="26"/>
      <c r="M88" s="6"/>
    </row>
    <row r="89" spans="1:28" ht="36.75" customHeight="1" x14ac:dyDescent="0.25">
      <c r="A89" s="27" t="s">
        <v>72</v>
      </c>
      <c r="B89" s="28"/>
      <c r="C89" s="28"/>
      <c r="D89" s="28"/>
      <c r="E89" s="28"/>
      <c r="F89" s="82"/>
      <c r="G89" s="82"/>
      <c r="H89" s="30"/>
      <c r="I89" s="82">
        <f>+I74+I82+I34+I6</f>
        <v>68.861079647986841</v>
      </c>
      <c r="J89" s="82">
        <f>+J74+J82+J34+J6</f>
        <v>53.993108486233908</v>
      </c>
      <c r="K89" s="31">
        <f>IF(I89=0,0,J89/I89)</f>
        <v>0.78408745204465291</v>
      </c>
      <c r="L89" s="31"/>
      <c r="M89" s="6"/>
    </row>
    <row r="90" spans="1:28" x14ac:dyDescent="0.25">
      <c r="A90" s="97" t="s">
        <v>73</v>
      </c>
      <c r="B90" s="98"/>
      <c r="C90" s="98"/>
      <c r="D90" s="98"/>
      <c r="E90" s="98"/>
      <c r="F90" s="98"/>
      <c r="G90" s="98"/>
      <c r="H90" s="99"/>
      <c r="I90" s="5"/>
      <c r="J90" s="5"/>
      <c r="K90" s="5"/>
      <c r="L90" s="5"/>
      <c r="M90" s="6"/>
    </row>
    <row r="91" spans="1:28" x14ac:dyDescent="0.25">
      <c r="A91" s="100" t="s">
        <v>74</v>
      </c>
      <c r="B91" s="101"/>
      <c r="C91" s="102"/>
      <c r="D91" s="102"/>
      <c r="E91" s="103"/>
      <c r="F91" s="103"/>
      <c r="G91" s="103"/>
      <c r="H91" s="104">
        <v>1</v>
      </c>
      <c r="I91" s="105">
        <f t="shared" ref="I91:J94" si="16">+SUMIF($M$7:$M$89,$H91,I$7:I$89)</f>
        <v>45.738495172351733</v>
      </c>
      <c r="J91" s="105">
        <f t="shared" si="16"/>
        <v>44.411145208679777</v>
      </c>
      <c r="K91" s="106">
        <f>+J91/I91</f>
        <v>0.97097958822934083</v>
      </c>
      <c r="L91" s="5"/>
      <c r="M91" s="6"/>
    </row>
    <row r="92" spans="1:28" x14ac:dyDescent="0.25">
      <c r="A92" s="107" t="s">
        <v>75</v>
      </c>
      <c r="B92" s="108"/>
      <c r="C92" s="109"/>
      <c r="D92" s="109"/>
      <c r="E92" s="110"/>
      <c r="F92" s="110"/>
      <c r="G92" s="110"/>
      <c r="H92" s="111">
        <v>2</v>
      </c>
      <c r="I92" s="112">
        <f t="shared" si="16"/>
        <v>3.951170148621332</v>
      </c>
      <c r="J92" s="112">
        <f t="shared" si="16"/>
        <v>3.3361012193045023</v>
      </c>
      <c r="K92" s="113">
        <f>+J92/I92</f>
        <v>0.84433246198434575</v>
      </c>
      <c r="L92" s="5"/>
      <c r="M92" s="6"/>
    </row>
    <row r="93" spans="1:28" x14ac:dyDescent="0.25">
      <c r="A93" s="114" t="s">
        <v>76</v>
      </c>
      <c r="B93" s="110"/>
      <c r="C93" s="110"/>
      <c r="D93" s="110"/>
      <c r="E93" s="110"/>
      <c r="F93" s="110"/>
      <c r="G93" s="110"/>
      <c r="H93" s="115">
        <v>3</v>
      </c>
      <c r="I93" s="112">
        <f t="shared" si="16"/>
        <v>16.927589033123702</v>
      </c>
      <c r="J93" s="112">
        <f t="shared" si="16"/>
        <v>4.3327197447688013</v>
      </c>
      <c r="K93" s="113">
        <f>+J93/I93</f>
        <v>0.25595610433893379</v>
      </c>
      <c r="L93" s="5"/>
      <c r="M93" s="6"/>
    </row>
    <row r="94" spans="1:28" x14ac:dyDescent="0.25">
      <c r="A94" s="116" t="s">
        <v>77</v>
      </c>
      <c r="B94" s="117"/>
      <c r="C94" s="117"/>
      <c r="D94" s="117"/>
      <c r="E94" s="117"/>
      <c r="F94" s="117"/>
      <c r="G94" s="117"/>
      <c r="H94" s="118">
        <v>4</v>
      </c>
      <c r="I94" s="119">
        <f t="shared" si="16"/>
        <v>2.2438252938900733</v>
      </c>
      <c r="J94" s="119">
        <f t="shared" si="16"/>
        <v>1.9131423134808365</v>
      </c>
      <c r="K94" s="120">
        <f>+J94/I94</f>
        <v>0.85262534417911895</v>
      </c>
      <c r="L94" s="5"/>
      <c r="M94" s="6"/>
    </row>
    <row r="95" spans="1:28" ht="25.5" customHeight="1" x14ac:dyDescent="0.25">
      <c r="A95" s="303" t="s">
        <v>78</v>
      </c>
      <c r="B95" s="304"/>
      <c r="C95" s="304"/>
      <c r="D95" s="304"/>
      <c r="E95" s="304"/>
      <c r="F95" s="304"/>
      <c r="G95" s="304"/>
      <c r="H95" s="304"/>
      <c r="I95" s="304"/>
      <c r="J95" s="304"/>
      <c r="K95" s="304"/>
      <c r="L95" s="304"/>
      <c r="M95" s="6"/>
    </row>
    <row r="96" spans="1:28" x14ac:dyDescent="0.25">
      <c r="A96" s="5"/>
      <c r="B96" s="98"/>
      <c r="C96" s="98"/>
      <c r="D96" s="98"/>
      <c r="E96" s="98"/>
      <c r="F96" s="98"/>
      <c r="G96" s="98"/>
      <c r="H96" s="99"/>
      <c r="I96" s="5"/>
      <c r="J96" s="5"/>
      <c r="K96" s="5"/>
      <c r="L96" s="5"/>
      <c r="M96" s="6"/>
    </row>
  </sheetData>
  <mergeCells count="4">
    <mergeCell ref="B3:G3"/>
    <mergeCell ref="H3:H4"/>
    <mergeCell ref="I3:J3"/>
    <mergeCell ref="A95:L95"/>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B96"/>
  <sheetViews>
    <sheetView workbookViewId="0"/>
  </sheetViews>
  <sheetFormatPr defaultRowHeight="15" outlineLevelRow="2" outlineLevelCol="1" x14ac:dyDescent="0.25"/>
  <cols>
    <col min="1" max="1" width="46.42578125" customWidth="1"/>
    <col min="2" max="2" width="13.28515625" style="121" customWidth="1" outlineLevel="1"/>
    <col min="3" max="3" width="10.28515625" style="121" customWidth="1" outlineLevel="1"/>
    <col min="4" max="4" width="10.85546875" style="121" customWidth="1" outlineLevel="1"/>
    <col min="5" max="5" width="11.5703125" style="121" customWidth="1" outlineLevel="1"/>
    <col min="6" max="6" width="15.42578125" style="121" customWidth="1"/>
    <col min="7" max="7" width="14.85546875" style="121" customWidth="1"/>
    <col min="8" max="8" width="11.140625" style="122" customWidth="1"/>
    <col min="9" max="11" width="12.28515625" customWidth="1"/>
    <col min="12" max="12" width="11.42578125" customWidth="1"/>
    <col min="13" max="13" width="11.42578125" style="123" customWidth="1"/>
    <col min="14" max="14" width="11.85546875" customWidth="1"/>
    <col min="17" max="17" width="12.42578125" customWidth="1"/>
  </cols>
  <sheetData>
    <row r="1" spans="1:17" s="126" customFormat="1" x14ac:dyDescent="0.25">
      <c r="A1" s="1" t="str">
        <f>"Updated on " &amp; TEXT(Updates!B2,"[$-0809]dd mmm yyyy")</f>
        <v>Updated on 11 Nov 2022</v>
      </c>
      <c r="B1" s="130"/>
      <c r="C1" s="130"/>
      <c r="D1" s="130"/>
      <c r="E1" s="130"/>
      <c r="F1" s="130"/>
      <c r="G1" s="130"/>
      <c r="H1" s="131"/>
      <c r="I1" s="132"/>
      <c r="J1" s="132"/>
      <c r="K1" s="132"/>
      <c r="L1" s="35"/>
      <c r="M1" s="133"/>
    </row>
    <row r="2" spans="1:17" ht="45" x14ac:dyDescent="0.25">
      <c r="A2" s="8" t="s">
        <v>80</v>
      </c>
      <c r="B2" s="9"/>
      <c r="C2" s="9"/>
      <c r="D2" s="9"/>
      <c r="E2" s="9"/>
      <c r="F2" s="9"/>
      <c r="G2" s="9"/>
      <c r="H2" s="9"/>
      <c r="I2" s="9"/>
      <c r="J2" s="9"/>
      <c r="K2" s="9"/>
      <c r="L2" s="5"/>
      <c r="M2" s="6"/>
    </row>
    <row r="3" spans="1:17" ht="44.25" customHeight="1" x14ac:dyDescent="0.25">
      <c r="A3" s="10" t="s">
        <v>108</v>
      </c>
      <c r="B3" s="305" t="s">
        <v>2</v>
      </c>
      <c r="C3" s="306"/>
      <c r="D3" s="306"/>
      <c r="E3" s="306"/>
      <c r="F3" s="306"/>
      <c r="G3" s="307"/>
      <c r="H3" s="308" t="s">
        <v>3</v>
      </c>
      <c r="I3" s="301" t="s">
        <v>4</v>
      </c>
      <c r="J3" s="302"/>
      <c r="K3" s="11"/>
      <c r="L3" s="12"/>
      <c r="M3" s="6"/>
    </row>
    <row r="4" spans="1:17" ht="50.25" customHeight="1" x14ac:dyDescent="0.25">
      <c r="A4" s="14" t="s">
        <v>6</v>
      </c>
      <c r="B4" s="15" t="s">
        <v>7</v>
      </c>
      <c r="C4" s="15" t="s">
        <v>8</v>
      </c>
      <c r="D4" s="16" t="s">
        <v>9</v>
      </c>
      <c r="E4" s="16" t="s">
        <v>10</v>
      </c>
      <c r="F4" s="16" t="s">
        <v>11</v>
      </c>
      <c r="G4" s="16" t="s">
        <v>12</v>
      </c>
      <c r="H4" s="309"/>
      <c r="I4" s="17" t="s">
        <v>13</v>
      </c>
      <c r="J4" s="17" t="s">
        <v>14</v>
      </c>
      <c r="K4" s="16" t="s">
        <v>15</v>
      </c>
      <c r="L4" s="15" t="s">
        <v>16</v>
      </c>
      <c r="M4" s="6"/>
    </row>
    <row r="5" spans="1:17" ht="10.5" customHeight="1" x14ac:dyDescent="0.25">
      <c r="A5" s="20"/>
      <c r="B5" s="21"/>
      <c r="C5" s="21"/>
      <c r="D5" s="21"/>
      <c r="E5" s="21"/>
      <c r="F5" s="22"/>
      <c r="G5" s="22"/>
      <c r="H5" s="23"/>
      <c r="I5" s="24"/>
      <c r="J5" s="25"/>
      <c r="K5" s="26"/>
      <c r="L5" s="26"/>
      <c r="M5" s="6"/>
    </row>
    <row r="6" spans="1:17" ht="36" customHeight="1" x14ac:dyDescent="0.25">
      <c r="A6" s="27" t="s">
        <v>18</v>
      </c>
      <c r="B6" s="28"/>
      <c r="C6" s="28"/>
      <c r="D6" s="28"/>
      <c r="E6" s="28"/>
      <c r="F6" s="29">
        <f>F9+F21+F27</f>
        <v>159.77051212075995</v>
      </c>
      <c r="G6" s="29">
        <f>G9+G21+G27</f>
        <v>146.78056812754409</v>
      </c>
      <c r="H6" s="30"/>
      <c r="I6" s="30">
        <f>I9+I21+I27</f>
        <v>16.15946472140422</v>
      </c>
      <c r="J6" s="30">
        <f>J9+J21+J27</f>
        <v>14.846790504026449</v>
      </c>
      <c r="K6" s="31">
        <f>J6/I6</f>
        <v>0.91876746909573981</v>
      </c>
      <c r="L6" s="31">
        <f>+I6/$I$89</f>
        <v>0.22709883220400279</v>
      </c>
      <c r="M6" s="6"/>
    </row>
    <row r="7" spans="1:17" ht="8.25" customHeight="1" x14ac:dyDescent="0.25">
      <c r="A7" s="20"/>
      <c r="B7" s="21"/>
      <c r="C7" s="21"/>
      <c r="D7" s="21"/>
      <c r="E7" s="21"/>
      <c r="F7" s="22"/>
      <c r="G7" s="22"/>
      <c r="H7" s="23"/>
      <c r="I7" s="24"/>
      <c r="J7" s="25"/>
      <c r="K7" s="26"/>
      <c r="L7" s="26"/>
      <c r="M7" s="6"/>
    </row>
    <row r="8" spans="1:17" ht="8.25" hidden="1" customHeight="1" x14ac:dyDescent="0.25">
      <c r="A8" s="38"/>
      <c r="B8" s="39"/>
      <c r="C8" s="39"/>
      <c r="D8" s="39"/>
      <c r="E8" s="39"/>
      <c r="F8" s="40"/>
      <c r="G8" s="40"/>
      <c r="H8" s="41"/>
      <c r="I8" s="42"/>
      <c r="J8" s="43"/>
      <c r="K8" s="44"/>
      <c r="L8" s="45"/>
      <c r="M8" s="6"/>
    </row>
    <row r="9" spans="1:17" ht="22.5" customHeight="1" outlineLevel="1" x14ac:dyDescent="0.25">
      <c r="A9" s="48" t="s">
        <v>83</v>
      </c>
      <c r="B9" s="49">
        <f>SUM(B11:B19)</f>
        <v>265.46612846099998</v>
      </c>
      <c r="C9" s="49">
        <f t="shared" ref="C9:J9" si="0">SUM(C11:C19)</f>
        <v>16.496491048999996</v>
      </c>
      <c r="D9" s="49">
        <f t="shared" si="0"/>
        <v>26.450344737000005</v>
      </c>
      <c r="E9" s="49">
        <f t="shared" si="0"/>
        <v>255.51227477300003</v>
      </c>
      <c r="F9" s="49">
        <f t="shared" si="0"/>
        <v>156.44566481253722</v>
      </c>
      <c r="G9" s="49">
        <f t="shared" si="0"/>
        <v>143.74699340677614</v>
      </c>
      <c r="H9" s="50"/>
      <c r="I9" s="50">
        <f t="shared" si="0"/>
        <v>15.261463239379095</v>
      </c>
      <c r="J9" s="50">
        <f t="shared" si="0"/>
        <v>14.029913118865023</v>
      </c>
      <c r="K9" s="51">
        <f>J9/I9</f>
        <v>0.91930327379511634</v>
      </c>
      <c r="L9" s="51">
        <f>+I9/$I$89</f>
        <v>0.21447866864033938</v>
      </c>
      <c r="M9" s="6"/>
      <c r="N9" s="52"/>
      <c r="O9" s="52"/>
      <c r="P9" s="52"/>
      <c r="Q9" s="52"/>
    </row>
    <row r="10" spans="1:17" ht="15" customHeight="1" outlineLevel="1" x14ac:dyDescent="0.25">
      <c r="A10" s="20"/>
      <c r="B10" s="21"/>
      <c r="C10" s="21"/>
      <c r="D10" s="21"/>
      <c r="E10" s="21"/>
      <c r="F10" s="22"/>
      <c r="G10" s="22"/>
      <c r="H10" s="23"/>
      <c r="I10" s="24"/>
      <c r="J10" s="25"/>
      <c r="K10" s="26"/>
      <c r="L10" s="26"/>
      <c r="M10" s="6"/>
      <c r="N10" s="52"/>
      <c r="O10" s="52"/>
      <c r="P10" s="52"/>
      <c r="Q10" s="52"/>
    </row>
    <row r="11" spans="1:17" ht="15" customHeight="1" outlineLevel="1" x14ac:dyDescent="0.25">
      <c r="A11" s="55" t="str">
        <f>+'data from cereal masterfile'!A3</f>
        <v>Common  wheat</v>
      </c>
      <c r="B11" s="56">
        <f>+'data from cereal masterfile'!B3</f>
        <v>114.21698393599999</v>
      </c>
      <c r="C11" s="56">
        <f>+'data from cereal masterfile'!B15</f>
        <v>6.9630877499999997</v>
      </c>
      <c r="D11" s="56">
        <f>+'data from cereal masterfile'!B27</f>
        <v>14.813286536</v>
      </c>
      <c r="E11" s="56">
        <f>+B11+C11-D11</f>
        <v>106.36678515</v>
      </c>
      <c r="F11" s="56">
        <f>+'data from cereal masterfile'!B39</f>
        <v>48.378999999999991</v>
      </c>
      <c r="G11" s="56">
        <f>IF(B11&gt;E11,F11,F11*B11/E11)-C11</f>
        <v>41.415912249999991</v>
      </c>
      <c r="H11" s="57">
        <v>0.11</v>
      </c>
      <c r="I11" s="58">
        <f>F11*H11</f>
        <v>5.3216899999999994</v>
      </c>
      <c r="J11" s="58">
        <f>G11*H11</f>
        <v>4.5557503474999992</v>
      </c>
      <c r="K11" s="26"/>
      <c r="L11" s="26"/>
      <c r="M11" s="6">
        <f>+IF(H11&lt;15%,1,IF(H11&lt;30%,2,IF(H11&lt;50%,3,4)))</f>
        <v>1</v>
      </c>
      <c r="N11" s="73"/>
      <c r="O11" s="72"/>
      <c r="P11" s="52"/>
      <c r="Q11" s="52"/>
    </row>
    <row r="12" spans="1:17" ht="15" customHeight="1" outlineLevel="1" x14ac:dyDescent="0.25">
      <c r="A12" s="55" t="str">
        <f>+'data from cereal masterfile'!A4</f>
        <v>Barley</v>
      </c>
      <c r="B12" s="56">
        <f>+'data from cereal masterfile'!B4</f>
        <v>45.785655555000012</v>
      </c>
      <c r="C12" s="56">
        <f>+'data from cereal masterfile'!B16</f>
        <v>1.072334084</v>
      </c>
      <c r="D12" s="56">
        <f>+'data from cereal masterfile'!B28</f>
        <v>5.6307603380000009</v>
      </c>
      <c r="E12" s="56">
        <f t="shared" ref="E12:E19" si="1">+B12+C12-D12</f>
        <v>41.227229301000008</v>
      </c>
      <c r="F12" s="56">
        <f>+'data from cereal masterfile'!B40</f>
        <v>33.135989000000002</v>
      </c>
      <c r="G12" s="56">
        <f>IF(B12&gt;E12,F12,F12*B12/E12)</f>
        <v>33.135989000000002</v>
      </c>
      <c r="H12" s="57">
        <v>0.1</v>
      </c>
      <c r="I12" s="58">
        <f t="shared" ref="I12:I19" si="2">F12*H12</f>
        <v>3.3135989000000006</v>
      </c>
      <c r="J12" s="58">
        <f t="shared" ref="J12:J19" si="3">G12*H12</f>
        <v>3.3135989000000006</v>
      </c>
      <c r="K12" s="26"/>
      <c r="L12" s="26"/>
      <c r="M12" s="6">
        <f t="shared" ref="M12:M19" si="4">+IF(H12&lt;15%,1,IF(H12&lt;30%,2,IF(H12&lt;50%,3,4)))</f>
        <v>1</v>
      </c>
      <c r="N12" s="73"/>
      <c r="O12" s="72"/>
      <c r="P12" s="52"/>
      <c r="Q12" s="52"/>
    </row>
    <row r="13" spans="1:17" ht="15" customHeight="1" outlineLevel="1" x14ac:dyDescent="0.25">
      <c r="A13" s="55" t="str">
        <f>+'data from cereal masterfile'!A5</f>
        <v>Durum</v>
      </c>
      <c r="B13" s="56">
        <f>+'data from cereal masterfile'!B5</f>
        <v>8.47072</v>
      </c>
      <c r="C13" s="56">
        <f>+'data from cereal masterfile'!B17</f>
        <v>1.8064797890000002</v>
      </c>
      <c r="D13" s="56">
        <f>+'data from cereal masterfile'!B29</f>
        <v>1.463136089</v>
      </c>
      <c r="E13" s="56">
        <f t="shared" si="1"/>
        <v>8.8140637000000002</v>
      </c>
      <c r="F13" s="56">
        <f>+'data from cereal masterfile'!B41</f>
        <v>0.2</v>
      </c>
      <c r="G13" s="56">
        <f>IF(B13&gt;E13,F13,F13*B13/E13)</f>
        <v>0.19220918496425207</v>
      </c>
      <c r="H13" s="57">
        <v>0.12</v>
      </c>
      <c r="I13" s="58">
        <f t="shared" si="2"/>
        <v>2.4E-2</v>
      </c>
      <c r="J13" s="58">
        <f t="shared" si="3"/>
        <v>2.3065102195710247E-2</v>
      </c>
      <c r="K13" s="26"/>
      <c r="L13" s="26"/>
      <c r="M13" s="6">
        <f t="shared" si="4"/>
        <v>1</v>
      </c>
      <c r="N13" s="73"/>
      <c r="O13" s="72"/>
      <c r="P13" s="52"/>
      <c r="Q13" s="52"/>
    </row>
    <row r="14" spans="1:17" ht="15" customHeight="1" outlineLevel="1" x14ac:dyDescent="0.25">
      <c r="A14" s="55" t="str">
        <f>+'data from cereal masterfile'!A6</f>
        <v>Maize</v>
      </c>
      <c r="B14" s="56">
        <f>+'data from cereal masterfile'!B6</f>
        <v>68.672508969999996</v>
      </c>
      <c r="C14" s="56">
        <f>+'data from cereal masterfile'!B18</f>
        <v>6.1252460099999997</v>
      </c>
      <c r="D14" s="56">
        <f>+'data from cereal masterfile'!B30</f>
        <v>4.1950274299999997</v>
      </c>
      <c r="E14" s="56">
        <f t="shared" si="1"/>
        <v>70.602727549999997</v>
      </c>
      <c r="F14" s="56">
        <f>+'data from cereal masterfile'!B42</f>
        <v>53.940000000000005</v>
      </c>
      <c r="G14" s="56">
        <f>F14-C14*0.9</f>
        <v>48.427278591000004</v>
      </c>
      <c r="H14" s="57">
        <v>0.08</v>
      </c>
      <c r="I14" s="58">
        <f t="shared" si="2"/>
        <v>4.3152000000000008</v>
      </c>
      <c r="J14" s="58">
        <f t="shared" si="3"/>
        <v>3.8741822872800005</v>
      </c>
      <c r="K14" s="26"/>
      <c r="L14" s="26"/>
      <c r="M14" s="6">
        <f t="shared" si="4"/>
        <v>1</v>
      </c>
      <c r="N14" s="73"/>
      <c r="O14" s="72"/>
      <c r="P14" s="52"/>
      <c r="Q14" s="52"/>
    </row>
    <row r="15" spans="1:17" ht="15" customHeight="1" outlineLevel="1" x14ac:dyDescent="0.25">
      <c r="A15" s="55" t="str">
        <f>+'data from cereal masterfile'!A7</f>
        <v>Rye</v>
      </c>
      <c r="B15" s="56">
        <f>+'data from cereal masterfile'!B7</f>
        <v>6.5792604504987091</v>
      </c>
      <c r="C15" s="56">
        <f>+'data from cereal masterfile'!B19</f>
        <v>0.28921191100000004</v>
      </c>
      <c r="D15" s="56">
        <f>+'data from cereal masterfile'!B31</f>
        <v>7.1110434E-2</v>
      </c>
      <c r="E15" s="56">
        <f t="shared" si="1"/>
        <v>6.7973619274987085</v>
      </c>
      <c r="F15" s="56">
        <f>+'data from cereal masterfile'!B43</f>
        <v>1.9945156419804184</v>
      </c>
      <c r="G15" s="56">
        <f>IF(B15&gt;E15,F15,F15*B15/(B15+C15-D15))</f>
        <v>1.9305192251270342</v>
      </c>
      <c r="H15" s="57">
        <v>0.11</v>
      </c>
      <c r="I15" s="58">
        <f t="shared" si="2"/>
        <v>0.21939672061784601</v>
      </c>
      <c r="J15" s="58">
        <f t="shared" si="3"/>
        <v>0.21235711476397376</v>
      </c>
      <c r="K15" s="26"/>
      <c r="L15" s="26"/>
      <c r="M15" s="6">
        <f t="shared" si="4"/>
        <v>1</v>
      </c>
      <c r="N15" s="73"/>
      <c r="O15" s="72"/>
      <c r="P15" s="52"/>
      <c r="Q15" s="52"/>
    </row>
    <row r="16" spans="1:17" ht="15" customHeight="1" outlineLevel="1" x14ac:dyDescent="0.25">
      <c r="A16" s="55" t="str">
        <f>+'data from cereal masterfile'!A8</f>
        <v>Sorghum</v>
      </c>
      <c r="B16" s="56">
        <f>+'data from cereal masterfile'!B8</f>
        <v>0.57859000000000005</v>
      </c>
      <c r="C16" s="56">
        <f>+'data from cereal masterfile'!B20</f>
        <v>8.5229344999999998E-2</v>
      </c>
      <c r="D16" s="56">
        <f>+'data from cereal masterfile'!B32</f>
        <v>9.4928889999999991E-3</v>
      </c>
      <c r="E16" s="56">
        <f t="shared" si="1"/>
        <v>0.65432645600000006</v>
      </c>
      <c r="F16" s="56">
        <f>+'data from cereal masterfile'!B44</f>
        <v>0.4840352005048828</v>
      </c>
      <c r="G16" s="56">
        <f>IF(B16&gt;E16,F16,F16*B16/(B16+C16-D16))</f>
        <v>0.42800948072947875</v>
      </c>
      <c r="H16" s="57">
        <v>0.11</v>
      </c>
      <c r="I16" s="58">
        <f t="shared" si="2"/>
        <v>5.3243872055537107E-2</v>
      </c>
      <c r="J16" s="58">
        <f t="shared" si="3"/>
        <v>4.708104288024266E-2</v>
      </c>
      <c r="K16" s="26"/>
      <c r="L16" s="26"/>
      <c r="M16" s="6">
        <f t="shared" si="4"/>
        <v>1</v>
      </c>
      <c r="N16" s="73"/>
      <c r="O16" s="72"/>
      <c r="P16" s="52"/>
      <c r="Q16" s="52"/>
    </row>
    <row r="17" spans="1:17" ht="15" customHeight="1" outlineLevel="1" x14ac:dyDescent="0.25">
      <c r="A17" s="55" t="str">
        <f>+'data from cereal masterfile'!A9</f>
        <v>Oats</v>
      </c>
      <c r="B17" s="56">
        <f>+'data from cereal masterfile'!B9</f>
        <v>7.0649799999999994</v>
      </c>
      <c r="C17" s="56">
        <f>+'data from cereal masterfile'!B21</f>
        <v>3.1741077999999999E-2</v>
      </c>
      <c r="D17" s="56">
        <f>+'data from cereal masterfile'!B33</f>
        <v>0.25090119699999996</v>
      </c>
      <c r="E17" s="56">
        <f t="shared" si="1"/>
        <v>6.8458198809999988</v>
      </c>
      <c r="F17" s="56">
        <f>+'data from cereal masterfile'!B45</f>
        <v>5.3632946389683251</v>
      </c>
      <c r="G17" s="56">
        <f>IF(B17&gt;E17,F17,F17*B17/(B17+C17-D17))</f>
        <v>5.3632946389683251</v>
      </c>
      <c r="H17" s="57">
        <v>0.11</v>
      </c>
      <c r="I17" s="58">
        <f t="shared" si="2"/>
        <v>0.58996241028651575</v>
      </c>
      <c r="J17" s="58">
        <f t="shared" si="3"/>
        <v>0.58996241028651575</v>
      </c>
      <c r="K17" s="26"/>
      <c r="L17" s="26"/>
      <c r="M17" s="6">
        <f t="shared" si="4"/>
        <v>1</v>
      </c>
      <c r="N17" s="73"/>
      <c r="O17" s="72"/>
      <c r="P17" s="52"/>
      <c r="Q17" s="52"/>
    </row>
    <row r="18" spans="1:17" ht="15" customHeight="1" outlineLevel="1" x14ac:dyDescent="0.25">
      <c r="A18" s="55" t="str">
        <f>+'data from cereal masterfile'!A10</f>
        <v>Triticale</v>
      </c>
      <c r="B18" s="56">
        <f>+'data from cereal masterfile'!B10</f>
        <v>9.8387999999999973</v>
      </c>
      <c r="C18" s="56">
        <f>+'data from cereal masterfile'!B22</f>
        <v>4.6535100000000002E-4</v>
      </c>
      <c r="D18" s="56">
        <f>+'data from cereal masterfile'!B34</f>
        <v>1.7654120000000001E-3</v>
      </c>
      <c r="E18" s="56">
        <f t="shared" si="1"/>
        <v>9.8374999389999989</v>
      </c>
      <c r="F18" s="56">
        <f>+'data from cereal masterfile'!B46</f>
        <v>9.0999575595510009</v>
      </c>
      <c r="G18" s="56">
        <f>IF(B18&gt;E18,F18,F18*B18/(B18+C18-D18))</f>
        <v>9.0999575595510009</v>
      </c>
      <c r="H18" s="57">
        <v>0.11</v>
      </c>
      <c r="I18" s="58">
        <f t="shared" si="2"/>
        <v>1.0009953315506102</v>
      </c>
      <c r="J18" s="58">
        <f t="shared" si="3"/>
        <v>1.0009953315506102</v>
      </c>
      <c r="K18" s="26"/>
      <c r="L18" s="26"/>
      <c r="M18" s="6">
        <f t="shared" si="4"/>
        <v>1</v>
      </c>
      <c r="N18" s="73"/>
      <c r="O18" s="72"/>
      <c r="P18" s="52"/>
      <c r="Q18" s="52"/>
    </row>
    <row r="19" spans="1:17" ht="15" customHeight="1" outlineLevel="1" x14ac:dyDescent="0.25">
      <c r="A19" s="55" t="str">
        <f>+'data from cereal masterfile'!A11</f>
        <v>Others</v>
      </c>
      <c r="B19" s="56">
        <f>+'data from cereal masterfile'!B11</f>
        <v>4.2586295495012907</v>
      </c>
      <c r="C19" s="56">
        <f>+'data from cereal masterfile'!B23</f>
        <v>0.122695731</v>
      </c>
      <c r="D19" s="56">
        <f>+'data from cereal masterfile'!B35</f>
        <v>1.4864412E-2</v>
      </c>
      <c r="E19" s="56">
        <f t="shared" si="1"/>
        <v>4.3664608685012913</v>
      </c>
      <c r="F19" s="56">
        <f>+'data from cereal masterfile'!B47</f>
        <v>3.8488727715326054</v>
      </c>
      <c r="G19" s="56">
        <f>IF(B19&gt;E19,F19,F19*B19/(B19+C19-D19))</f>
        <v>3.7538234764360938</v>
      </c>
      <c r="H19" s="57">
        <v>0.11</v>
      </c>
      <c r="I19" s="58">
        <f t="shared" si="2"/>
        <v>0.42337600486858662</v>
      </c>
      <c r="J19" s="58">
        <f t="shared" si="3"/>
        <v>0.4129205824079703</v>
      </c>
      <c r="K19" s="26"/>
      <c r="L19" s="26"/>
      <c r="M19" s="6">
        <f t="shared" si="4"/>
        <v>1</v>
      </c>
      <c r="N19" s="73"/>
      <c r="O19" s="72"/>
      <c r="P19" s="52"/>
      <c r="Q19" s="52"/>
    </row>
    <row r="20" spans="1:17" ht="12.75" customHeight="1" outlineLevel="1" x14ac:dyDescent="0.25">
      <c r="A20" s="20"/>
      <c r="B20" s="21"/>
      <c r="C20" s="21"/>
      <c r="D20" s="21"/>
      <c r="E20" s="21"/>
      <c r="F20" s="22"/>
      <c r="G20" s="22"/>
      <c r="H20" s="23"/>
      <c r="I20" s="24"/>
      <c r="J20" s="25"/>
      <c r="K20" s="26"/>
      <c r="L20" s="26"/>
      <c r="M20" s="6"/>
      <c r="N20" s="52"/>
      <c r="O20" s="52"/>
      <c r="P20" s="52"/>
      <c r="Q20" s="52"/>
    </row>
    <row r="21" spans="1:17" ht="22.5" customHeight="1" outlineLevel="1" x14ac:dyDescent="0.25">
      <c r="A21" s="48" t="s">
        <v>84</v>
      </c>
      <c r="B21" s="49">
        <f t="shared" ref="B21:G21" si="5">SUM(B23:B25)</f>
        <v>26.271819999999998</v>
      </c>
      <c r="C21" s="49">
        <f t="shared" si="5"/>
        <v>15.973689299</v>
      </c>
      <c r="D21" s="49">
        <f t="shared" si="5"/>
        <v>0.98343231499999995</v>
      </c>
      <c r="E21" s="49">
        <f t="shared" si="5"/>
        <v>41.262076983999997</v>
      </c>
      <c r="F21" s="49">
        <f t="shared" si="5"/>
        <v>1.5359043999999999</v>
      </c>
      <c r="G21" s="49">
        <f t="shared" si="5"/>
        <v>1.5359043999999999</v>
      </c>
      <c r="H21" s="50"/>
      <c r="I21" s="50">
        <f>SUM(I23:I25)</f>
        <v>0.45231952419999999</v>
      </c>
      <c r="J21" s="50">
        <f>SUM(J23:J25)</f>
        <v>0.45231952419999999</v>
      </c>
      <c r="K21" s="51">
        <f>J21/I21</f>
        <v>1</v>
      </c>
      <c r="L21" s="51">
        <f>+I21/$I$89</f>
        <v>6.3567226699551178E-3</v>
      </c>
      <c r="M21" s="6"/>
      <c r="N21" s="52"/>
      <c r="O21" s="52"/>
      <c r="P21" s="52"/>
      <c r="Q21" s="52"/>
    </row>
    <row r="22" spans="1:17" ht="15" customHeight="1" outlineLevel="1" x14ac:dyDescent="0.25">
      <c r="A22" s="20" t="s">
        <v>85</v>
      </c>
      <c r="B22" s="21"/>
      <c r="C22" s="21"/>
      <c r="D22" s="21"/>
      <c r="E22" s="21"/>
      <c r="F22" s="22"/>
      <c r="G22" s="22"/>
      <c r="H22" s="23"/>
      <c r="I22" s="24"/>
      <c r="J22" s="25"/>
      <c r="K22" s="26"/>
      <c r="L22" s="26"/>
      <c r="M22" s="6"/>
      <c r="N22" s="52"/>
      <c r="O22" s="52"/>
      <c r="P22" s="52"/>
      <c r="Q22" s="52"/>
    </row>
    <row r="23" spans="1:17" ht="15" customHeight="1" outlineLevel="1" x14ac:dyDescent="0.25">
      <c r="A23" s="55" t="s">
        <v>22</v>
      </c>
      <c r="B23" s="56">
        <f>+'data from oilseed masterfile'!P4</f>
        <v>1.2401000000000004</v>
      </c>
      <c r="C23" s="56">
        <f>+'data from oilseed masterfile'!P12</f>
        <v>11.218803402000001</v>
      </c>
      <c r="D23" s="56">
        <f>+'data from oilseed masterfile'!P16</f>
        <v>0.12563176400000001</v>
      </c>
      <c r="E23" s="56">
        <f>+B23+C23-D23</f>
        <v>12.333271638000001</v>
      </c>
      <c r="F23" s="56">
        <v>1.2</v>
      </c>
      <c r="G23" s="56">
        <f>F23</f>
        <v>1.2</v>
      </c>
      <c r="H23" s="61">
        <v>0.33</v>
      </c>
      <c r="I23" s="58">
        <f>F23*H23</f>
        <v>0.39600000000000002</v>
      </c>
      <c r="J23" s="58">
        <f>G23*H23</f>
        <v>0.39600000000000002</v>
      </c>
      <c r="K23" s="26"/>
      <c r="L23" s="26"/>
      <c r="M23" s="6">
        <f>+IF(H23&lt;15%,1,IF(H23&lt;30%,2,IF(H23&lt;50%,3,4)))</f>
        <v>3</v>
      </c>
      <c r="N23" s="52"/>
      <c r="O23" s="52"/>
      <c r="P23" s="52"/>
      <c r="Q23" s="52"/>
    </row>
    <row r="24" spans="1:17" ht="15" customHeight="1" outlineLevel="1" x14ac:dyDescent="0.25">
      <c r="A24" s="55" t="s">
        <v>23</v>
      </c>
      <c r="B24" s="56">
        <f>+'data from oilseed masterfile'!P5</f>
        <v>16.472999999999999</v>
      </c>
      <c r="C24" s="56">
        <f>+'data from oilseed masterfile'!P13</f>
        <v>4.5025685549999999</v>
      </c>
      <c r="D24" s="56">
        <f>+'data from oilseed masterfile'!P17</f>
        <v>0.165129267</v>
      </c>
      <c r="E24" s="56">
        <f>+B24+C24-D24</f>
        <v>20.810439287999998</v>
      </c>
      <c r="F24" s="56">
        <f>+B24*1%</f>
        <v>0.16472999999999999</v>
      </c>
      <c r="G24" s="56">
        <f>F24</f>
        <v>0.16472999999999999</v>
      </c>
      <c r="H24" s="62">
        <f>H47*0.57</f>
        <v>0.18809999999999999</v>
      </c>
      <c r="I24" s="58">
        <f>F24*H24</f>
        <v>3.0985712999999995E-2</v>
      </c>
      <c r="J24" s="58">
        <f>G24*H24</f>
        <v>3.0985712999999995E-2</v>
      </c>
      <c r="K24" s="26"/>
      <c r="L24" s="26"/>
      <c r="M24" s="6">
        <f>+IF(H24&lt;15%,1,IF(H24&lt;30%,2,IF(H24&lt;50%,3,4)))</f>
        <v>2</v>
      </c>
      <c r="N24" s="52"/>
      <c r="O24" s="52"/>
      <c r="P24" s="52"/>
      <c r="Q24" s="52"/>
    </row>
    <row r="25" spans="1:17" ht="15" customHeight="1" outlineLevel="1" x14ac:dyDescent="0.25">
      <c r="A25" s="55" t="s">
        <v>24</v>
      </c>
      <c r="B25" s="56">
        <f>+'data from oilseed masterfile'!P6</f>
        <v>8.5587199999999992</v>
      </c>
      <c r="C25" s="56">
        <f>+'data from oilseed masterfile'!P14</f>
        <v>0.252317342</v>
      </c>
      <c r="D25" s="56">
        <f>+'data from oilseed masterfile'!P18</f>
        <v>0.692671284</v>
      </c>
      <c r="E25" s="56">
        <f>+B25+C25-D25</f>
        <v>8.1183660579999994</v>
      </c>
      <c r="F25" s="56">
        <f>+B25*2%</f>
        <v>0.17117439999999998</v>
      </c>
      <c r="G25" s="56">
        <f>F25</f>
        <v>0.17117439999999998</v>
      </c>
      <c r="H25" s="57">
        <v>0.14799999999999999</v>
      </c>
      <c r="I25" s="58">
        <f>F25*H25</f>
        <v>2.5333811199999997E-2</v>
      </c>
      <c r="J25" s="58">
        <f>G25*H25</f>
        <v>2.5333811199999997E-2</v>
      </c>
      <c r="K25" s="26"/>
      <c r="L25" s="26"/>
      <c r="M25" s="6">
        <f>+IF(H25&lt;15%,1,IF(H25&lt;30%,2,IF(H25&lt;50%,3,4)))</f>
        <v>1</v>
      </c>
      <c r="N25" s="52"/>
      <c r="O25" s="52"/>
      <c r="P25" s="52"/>
      <c r="Q25" s="52"/>
    </row>
    <row r="26" spans="1:17" ht="12.75" customHeight="1" outlineLevel="1" x14ac:dyDescent="0.25">
      <c r="A26" s="20"/>
      <c r="B26" s="21"/>
      <c r="C26" s="21"/>
      <c r="D26" s="21"/>
      <c r="E26" s="21"/>
      <c r="F26" s="22"/>
      <c r="G26" s="22"/>
      <c r="H26" s="23"/>
      <c r="I26" s="24"/>
      <c r="J26" s="25"/>
      <c r="K26" s="26"/>
      <c r="L26" s="26"/>
      <c r="M26" s="6"/>
      <c r="N26" s="52"/>
      <c r="O26" s="52"/>
      <c r="P26" s="52"/>
      <c r="Q26" s="52"/>
    </row>
    <row r="27" spans="1:17" ht="20.25" customHeight="1" outlineLevel="1" x14ac:dyDescent="0.25">
      <c r="A27" s="48" t="s">
        <v>86</v>
      </c>
      <c r="B27" s="49">
        <f t="shared" ref="B27:G27" si="6">SUM(B29:B32)</f>
        <v>2.9053740000000006</v>
      </c>
      <c r="C27" s="49">
        <f t="shared" si="6"/>
        <v>0.85002069999999996</v>
      </c>
      <c r="D27" s="49">
        <f t="shared" si="6"/>
        <v>0.53830489999999998</v>
      </c>
      <c r="E27" s="49">
        <f t="shared" si="6"/>
        <v>3.217089800000001</v>
      </c>
      <c r="F27" s="49">
        <f t="shared" si="6"/>
        <v>1.7889429082227406</v>
      </c>
      <c r="G27" s="49">
        <f t="shared" si="6"/>
        <v>1.49767032076795</v>
      </c>
      <c r="H27" s="50"/>
      <c r="I27" s="50">
        <f>SUM(I29:I32)</f>
        <v>0.44568195782512304</v>
      </c>
      <c r="J27" s="50">
        <f>SUM(J29:J32)</f>
        <v>0.3645578609614254</v>
      </c>
      <c r="K27" s="51">
        <f>J27/I27</f>
        <v>0.81797760613964732</v>
      </c>
      <c r="L27" s="51">
        <f>+I27/$I$89</f>
        <v>6.2634408937082544E-3</v>
      </c>
      <c r="M27" s="6"/>
      <c r="N27" s="52"/>
      <c r="O27" s="52"/>
      <c r="P27" s="52"/>
      <c r="Q27" s="52"/>
    </row>
    <row r="28" spans="1:17" ht="15.75" customHeight="1" outlineLevel="1" x14ac:dyDescent="0.25">
      <c r="A28" s="20"/>
      <c r="B28" s="21"/>
      <c r="C28" s="21"/>
      <c r="D28" s="21"/>
      <c r="E28" s="21"/>
      <c r="F28" s="22"/>
      <c r="G28" s="22"/>
      <c r="H28" s="23"/>
      <c r="I28" s="24"/>
      <c r="J28" s="25"/>
      <c r="K28" s="26"/>
      <c r="L28" s="26"/>
      <c r="M28" s="6"/>
      <c r="N28" s="52"/>
      <c r="O28" s="52"/>
      <c r="P28" s="52"/>
      <c r="Q28" s="52"/>
    </row>
    <row r="29" spans="1:17" ht="15" customHeight="1" outlineLevel="1" x14ac:dyDescent="0.25">
      <c r="A29" s="55" t="s">
        <v>87</v>
      </c>
      <c r="B29" s="56">
        <f>'data from protein balance sheet'!B4</f>
        <v>1.4551100000000006</v>
      </c>
      <c r="C29" s="56">
        <f>'data from protein balance sheet'!B20</f>
        <v>0.14381759999999999</v>
      </c>
      <c r="D29" s="56">
        <f>'data from protein balance sheet'!B28</f>
        <v>0.26751960000000002</v>
      </c>
      <c r="E29" s="56">
        <f>'data from protein balance sheet'!B12</f>
        <v>1.3314080000000006</v>
      </c>
      <c r="F29" s="56">
        <f>'data from protein balance sheet'!B36</f>
        <v>0.98765962727394097</v>
      </c>
      <c r="G29" s="56">
        <f>IF(B29&gt;E29,F29,F29*B29/E29)</f>
        <v>0.98765962727394097</v>
      </c>
      <c r="H29" s="63">
        <v>0.22500000000000001</v>
      </c>
      <c r="I29" s="58">
        <f>F29*H29</f>
        <v>0.22222341613663671</v>
      </c>
      <c r="J29" s="58">
        <f>G29*H29</f>
        <v>0.22222341613663671</v>
      </c>
      <c r="K29" s="26"/>
      <c r="L29" s="26"/>
      <c r="M29" s="6">
        <f>+IF(H29&lt;15%,1,IF(H29&lt;30%,2,IF(H29&lt;50%,3,4)))</f>
        <v>2</v>
      </c>
      <c r="N29" s="52"/>
      <c r="O29" s="52"/>
      <c r="P29" s="52"/>
      <c r="Q29" s="52"/>
    </row>
    <row r="30" spans="1:17" ht="15" customHeight="1" outlineLevel="1" x14ac:dyDescent="0.25">
      <c r="A30" s="55" t="s">
        <v>27</v>
      </c>
      <c r="B30" s="56">
        <f>'data from protein balance sheet'!B5</f>
        <v>0.73054999999999992</v>
      </c>
      <c r="C30" s="56">
        <f>'data from protein balance sheet'!B21</f>
        <v>2.8815799999999996E-2</v>
      </c>
      <c r="D30" s="56">
        <f>'data from protein balance sheet'!B29</f>
        <v>0.23605109999999996</v>
      </c>
      <c r="E30" s="56">
        <f>'data from protein balance sheet'!B13</f>
        <v>0.52331469999999991</v>
      </c>
      <c r="F30" s="56">
        <f>'data from protein balance sheet'!B37</f>
        <v>0.15907714512864507</v>
      </c>
      <c r="G30" s="56">
        <f>IF(B30&gt;E30,F30,F30*B30/E30)</f>
        <v>0.15907714512864507</v>
      </c>
      <c r="H30" s="63">
        <v>0.26</v>
      </c>
      <c r="I30" s="58">
        <f>F30*H30</f>
        <v>4.1360057733447718E-2</v>
      </c>
      <c r="J30" s="58">
        <f>G30*H30</f>
        <v>4.1360057733447718E-2</v>
      </c>
      <c r="K30" s="26"/>
      <c r="L30" s="26"/>
      <c r="M30" s="6">
        <f>+IF(H30&lt;15%,1,IF(H30&lt;30%,2,IF(H30&lt;50%,3,4)))</f>
        <v>2</v>
      </c>
      <c r="N30" s="52"/>
      <c r="O30" s="52"/>
      <c r="P30" s="52"/>
      <c r="Q30" s="52"/>
    </row>
    <row r="31" spans="1:17" ht="15" customHeight="1" outlineLevel="1" x14ac:dyDescent="0.25">
      <c r="A31" s="55" t="s">
        <v>28</v>
      </c>
      <c r="B31" s="56">
        <f>'data from protein balance sheet'!B7</f>
        <v>0.13241</v>
      </c>
      <c r="C31" s="56">
        <f>'data from protein balance sheet'!B23</f>
        <v>8.3207800000000012E-2</v>
      </c>
      <c r="D31" s="56">
        <f>'data from protein balance sheet'!B31</f>
        <v>1.4830000000000003E-4</v>
      </c>
      <c r="E31" s="56">
        <f>'data from protein balance sheet'!B15</f>
        <v>0.21546950000000004</v>
      </c>
      <c r="F31" s="56">
        <f>'data from protein balance sheet'!B39</f>
        <v>0.21546950000000004</v>
      </c>
      <c r="G31" s="56">
        <f>IF(B31&gt;E31,F31,F31*B31/E31)</f>
        <v>0.13241</v>
      </c>
      <c r="H31" s="61">
        <v>0.35</v>
      </c>
      <c r="I31" s="58">
        <f>F31*H31</f>
        <v>7.5414325000000004E-2</v>
      </c>
      <c r="J31" s="58">
        <f>G31*H31</f>
        <v>4.6343499999999996E-2</v>
      </c>
      <c r="K31" s="26"/>
      <c r="L31" s="26"/>
      <c r="M31" s="6">
        <f>+IF(H31&lt;15%,1,IF(H31&lt;30%,2,IF(H31&lt;50%,3,4)))</f>
        <v>3</v>
      </c>
      <c r="N31" s="52"/>
      <c r="O31" s="52"/>
      <c r="P31" s="52"/>
      <c r="Q31" s="52"/>
    </row>
    <row r="32" spans="1:17" ht="15" customHeight="1" outlineLevel="1" x14ac:dyDescent="0.25">
      <c r="A32" s="55" t="s">
        <v>29</v>
      </c>
      <c r="B32" s="56">
        <f>'data from protein balance sheet'!B9</f>
        <v>0.58730400000000005</v>
      </c>
      <c r="C32" s="56">
        <f>'data from protein balance sheet'!B25</f>
        <v>0.59417949999999997</v>
      </c>
      <c r="D32" s="56">
        <f>'data from protein balance sheet'!B33</f>
        <v>3.4585900000000003E-2</v>
      </c>
      <c r="E32" s="56">
        <f>'data from protein balance sheet'!B17</f>
        <v>1.1468976000000002</v>
      </c>
      <c r="F32" s="56">
        <f>'data from protein balance sheet'!B41</f>
        <v>0.42673663582015459</v>
      </c>
      <c r="G32" s="56">
        <f>IF(B32&gt;E32,F32,F32*B32/E32)</f>
        <v>0.21852354836536411</v>
      </c>
      <c r="H32" s="63">
        <v>0.25</v>
      </c>
      <c r="I32" s="58">
        <f>F32*H32</f>
        <v>0.10668415895503865</v>
      </c>
      <c r="J32" s="58">
        <f>G32*H32</f>
        <v>5.4630887091341028E-2</v>
      </c>
      <c r="K32" s="26"/>
      <c r="L32" s="26"/>
      <c r="M32" s="6">
        <f>+IF(H32&lt;15%,1,IF(H32&lt;30%,2,IF(H32&lt;50%,3,4)))</f>
        <v>2</v>
      </c>
      <c r="N32" s="52"/>
      <c r="O32" s="52"/>
      <c r="P32" s="52"/>
      <c r="Q32" s="52"/>
    </row>
    <row r="33" spans="1:17" ht="12.75" customHeight="1" x14ac:dyDescent="0.25">
      <c r="A33" s="20"/>
      <c r="B33" s="21"/>
      <c r="C33" s="21"/>
      <c r="D33" s="21"/>
      <c r="E33" s="21"/>
      <c r="F33" s="22"/>
      <c r="G33" s="22"/>
      <c r="H33" s="23"/>
      <c r="I33" s="24"/>
      <c r="J33" s="25"/>
      <c r="K33" s="26"/>
      <c r="L33" s="26"/>
      <c r="M33" s="6"/>
      <c r="N33" s="52"/>
      <c r="O33" s="52"/>
      <c r="P33" s="52"/>
      <c r="Q33" s="52"/>
    </row>
    <row r="34" spans="1:17" ht="36" customHeight="1" x14ac:dyDescent="0.25">
      <c r="A34" s="27" t="s">
        <v>30</v>
      </c>
      <c r="B34" s="28"/>
      <c r="C34" s="28"/>
      <c r="D34" s="28"/>
      <c r="E34" s="28"/>
      <c r="F34" s="29">
        <f>+F36+F63</f>
        <v>78.586606920211864</v>
      </c>
      <c r="G34" s="29">
        <f>+G36+G63</f>
        <v>41.930016507675006</v>
      </c>
      <c r="H34" s="30"/>
      <c r="I34" s="30">
        <f>+I36+I63</f>
        <v>23.513451374430044</v>
      </c>
      <c r="J34" s="30">
        <f>+J36+J63</f>
        <v>8.6588100830192118</v>
      </c>
      <c r="K34" s="31">
        <f>IF(I34=0,0,J34/I34)</f>
        <v>0.36824921808098865</v>
      </c>
      <c r="L34" s="31">
        <f>+I34/$I$89</f>
        <v>0.33044890039864167</v>
      </c>
      <c r="M34" s="6"/>
      <c r="N34" s="52"/>
      <c r="O34" s="52"/>
      <c r="P34" s="52"/>
      <c r="Q34" s="52"/>
    </row>
    <row r="35" spans="1:17" ht="12.75" customHeight="1" x14ac:dyDescent="0.25">
      <c r="A35" s="20"/>
      <c r="B35" s="21"/>
      <c r="C35" s="21"/>
      <c r="D35" s="21"/>
      <c r="E35" s="21"/>
      <c r="F35" s="22"/>
      <c r="G35" s="22"/>
      <c r="H35" s="23"/>
      <c r="I35" s="24"/>
      <c r="J35" s="25"/>
      <c r="K35" s="26"/>
      <c r="L35" s="26"/>
      <c r="M35" s="6"/>
      <c r="N35" s="52"/>
      <c r="O35" s="52"/>
      <c r="P35" s="52"/>
      <c r="Q35" s="52"/>
    </row>
    <row r="36" spans="1:17" ht="18.75" customHeight="1" outlineLevel="1" x14ac:dyDescent="0.25">
      <c r="A36" s="48" t="s">
        <v>31</v>
      </c>
      <c r="B36" s="49">
        <f t="shared" ref="B36:E36" si="7">+B38+B45+B51+B57</f>
        <v>23.754798600533327</v>
      </c>
      <c r="C36" s="49">
        <f t="shared" si="7"/>
        <v>25.549558010000002</v>
      </c>
      <c r="D36" s="49">
        <f t="shared" si="7"/>
        <v>2.0294489149999997</v>
      </c>
      <c r="E36" s="49">
        <f t="shared" si="7"/>
        <v>47.274907695533329</v>
      </c>
      <c r="F36" s="49">
        <f>+F38+F45+F51+F57</f>
        <v>47.146237988803648</v>
      </c>
      <c r="G36" s="49">
        <f>+G38+G45+G51+G57</f>
        <v>12.145017418266782</v>
      </c>
      <c r="H36" s="50"/>
      <c r="I36" s="50">
        <f>+I38+I45+I51+I57</f>
        <v>18.790926182210825</v>
      </c>
      <c r="J36" s="50">
        <f>+J38+J45+J51+J57</f>
        <v>4.1321062228929915</v>
      </c>
      <c r="K36" s="51">
        <f>IF(I36=0,0,J36/I36)</f>
        <v>0.21989901843182236</v>
      </c>
      <c r="L36" s="51">
        <f>+I36/$I$89</f>
        <v>0.26408036810521729</v>
      </c>
      <c r="M36" s="6"/>
      <c r="N36" s="52"/>
      <c r="O36" s="52"/>
      <c r="P36" s="52"/>
      <c r="Q36" s="52"/>
    </row>
    <row r="37" spans="1:17" ht="7.5" customHeight="1" outlineLevel="1" x14ac:dyDescent="0.25">
      <c r="A37" s="20"/>
      <c r="B37" s="21"/>
      <c r="C37" s="21"/>
      <c r="D37" s="21"/>
      <c r="E37" s="21"/>
      <c r="F37" s="22"/>
      <c r="G37" s="22"/>
      <c r="H37" s="23"/>
      <c r="I37" s="24"/>
      <c r="J37" s="25"/>
      <c r="K37" s="26"/>
      <c r="L37" s="26"/>
      <c r="M37" s="6"/>
      <c r="N37" s="52"/>
      <c r="O37" s="52"/>
      <c r="P37" s="52"/>
      <c r="Q37" s="52"/>
    </row>
    <row r="38" spans="1:17" ht="15" customHeight="1" outlineLevel="2" x14ac:dyDescent="0.25">
      <c r="A38" s="48" t="s">
        <v>88</v>
      </c>
      <c r="B38" s="49">
        <f t="shared" ref="B38:E38" si="8">B40+B41+B42+B43</f>
        <v>7.8979394314840077</v>
      </c>
      <c r="C38" s="49">
        <f t="shared" si="8"/>
        <v>19.889443155000002</v>
      </c>
      <c r="D38" s="49">
        <f t="shared" si="8"/>
        <v>1.164454095</v>
      </c>
      <c r="E38" s="49">
        <f t="shared" si="8"/>
        <v>26.622928491484011</v>
      </c>
      <c r="F38" s="49">
        <f>F40+F41+F42+F43</f>
        <v>26.494258784754329</v>
      </c>
      <c r="G38" s="49">
        <f>G40+G41+G42+G43</f>
        <v>0</v>
      </c>
      <c r="H38" s="50"/>
      <c r="I38" s="50">
        <f>SUM(I40:I43)</f>
        <v>12.105887747063219</v>
      </c>
      <c r="J38" s="50">
        <f>SUM(J40:J43)</f>
        <v>0</v>
      </c>
      <c r="K38" s="51">
        <f>IF(I38=0,0,J38/I38)</f>
        <v>0</v>
      </c>
      <c r="L38" s="51">
        <f>+I38/$I$89</f>
        <v>0.17013143798688285</v>
      </c>
      <c r="M38" s="6"/>
      <c r="N38" s="73"/>
      <c r="O38" s="73"/>
      <c r="P38" s="52"/>
      <c r="Q38" s="52"/>
    </row>
    <row r="39" spans="1:17" ht="15" customHeight="1" outlineLevel="2" x14ac:dyDescent="0.25">
      <c r="A39" s="20"/>
      <c r="B39" s="21"/>
      <c r="C39" s="21"/>
      <c r="D39" s="21"/>
      <c r="E39" s="21"/>
      <c r="F39" s="22"/>
      <c r="G39" s="22"/>
      <c r="H39" s="23"/>
      <c r="I39" s="24"/>
      <c r="J39" s="25"/>
      <c r="K39" s="26"/>
      <c r="L39" s="26"/>
      <c r="M39" s="6"/>
      <c r="N39" s="73"/>
      <c r="O39" s="73"/>
      <c r="P39" s="52"/>
      <c r="Q39" s="52"/>
    </row>
    <row r="40" spans="1:17" ht="15" customHeight="1" outlineLevel="2" x14ac:dyDescent="0.25">
      <c r="A40" s="55" t="s">
        <v>33</v>
      </c>
      <c r="B40" s="56">
        <f>MAX(MIN((B23-D23)*'data from oilseed masterfile'!P40,B23-D23-G23)*0.79,0)</f>
        <v>0</v>
      </c>
      <c r="C40" s="56"/>
      <c r="D40" s="56"/>
      <c r="E40" s="56">
        <f>B40-D40</f>
        <v>0</v>
      </c>
      <c r="F40" s="56">
        <f>(B40-D40)*0.98</f>
        <v>0</v>
      </c>
      <c r="G40" s="56">
        <f>F40</f>
        <v>0</v>
      </c>
      <c r="H40" s="61">
        <v>0.43</v>
      </c>
      <c r="I40" s="58">
        <f>F40*H40</f>
        <v>0</v>
      </c>
      <c r="J40" s="58">
        <f>G40*H40</f>
        <v>0</v>
      </c>
      <c r="K40" s="26"/>
      <c r="L40" s="26"/>
      <c r="M40" s="6">
        <f>+IF(H40&lt;15%,1,IF(H40&lt;30%,2,IF(H40&lt;50%,3,4)))</f>
        <v>3</v>
      </c>
      <c r="N40" s="73"/>
      <c r="O40" s="73"/>
      <c r="P40" s="52"/>
      <c r="Q40" s="52"/>
    </row>
    <row r="41" spans="1:17" ht="15" customHeight="1" outlineLevel="2" x14ac:dyDescent="0.25">
      <c r="A41" s="55" t="s">
        <v>34</v>
      </c>
      <c r="B41" s="56">
        <f>(MIN(C23*'data from oilseed masterfile'!P40,C23-(F23-G23))*0.79-B43)</f>
        <v>7.5979394314840079</v>
      </c>
      <c r="C41" s="56"/>
      <c r="D41" s="56">
        <f>+'data from oilseed masterfile'!P35</f>
        <v>1.164454095</v>
      </c>
      <c r="E41" s="56">
        <f>B41-D41</f>
        <v>6.4334853364840079</v>
      </c>
      <c r="F41" s="56">
        <f>(B41-D41)*0.98</f>
        <v>6.3048156297543274</v>
      </c>
      <c r="G41" s="56">
        <v>0</v>
      </c>
      <c r="H41" s="61">
        <v>0.45500000000000002</v>
      </c>
      <c r="I41" s="58">
        <f>F41*H41</f>
        <v>2.8686911115382192</v>
      </c>
      <c r="J41" s="58">
        <f>G41*H41</f>
        <v>0</v>
      </c>
      <c r="K41" s="26"/>
      <c r="L41" s="26"/>
      <c r="M41" s="6">
        <f>+IF(H41&lt;15%,1,IF(H41&lt;30%,2,IF(H41&lt;50%,3,4)))</f>
        <v>3</v>
      </c>
      <c r="N41" s="73"/>
      <c r="O41" s="73"/>
      <c r="P41" s="52"/>
      <c r="Q41" s="52"/>
    </row>
    <row r="42" spans="1:17" ht="15" customHeight="1" outlineLevel="2" x14ac:dyDescent="0.25">
      <c r="A42" s="55" t="s">
        <v>35</v>
      </c>
      <c r="B42" s="56"/>
      <c r="C42" s="56">
        <f>+'data from oilseed masterfile'!P31</f>
        <v>19.889443155000002</v>
      </c>
      <c r="D42" s="56"/>
      <c r="E42" s="56">
        <f>C42</f>
        <v>19.889443155000002</v>
      </c>
      <c r="F42" s="56">
        <f>(C42-D42)</f>
        <v>19.889443155000002</v>
      </c>
      <c r="G42" s="56">
        <v>0</v>
      </c>
      <c r="H42" s="61">
        <v>0.45500000000000002</v>
      </c>
      <c r="I42" s="58">
        <f>F42*H42</f>
        <v>9.0496966355250006</v>
      </c>
      <c r="J42" s="58">
        <f>G42*H42</f>
        <v>0</v>
      </c>
      <c r="K42" s="26"/>
      <c r="L42" s="26"/>
      <c r="M42" s="6">
        <f>+IF(H42&lt;15%,1,IF(H42&lt;30%,2,IF(H42&lt;50%,3,4)))</f>
        <v>3</v>
      </c>
      <c r="N42" s="73"/>
      <c r="O42" s="73"/>
      <c r="P42" s="52"/>
      <c r="Q42" s="52"/>
    </row>
    <row r="43" spans="1:17" ht="15" customHeight="1" outlineLevel="2" x14ac:dyDescent="0.25">
      <c r="A43" s="55" t="s">
        <v>89</v>
      </c>
      <c r="B43" s="56">
        <f>F43</f>
        <v>0.3</v>
      </c>
      <c r="C43" s="56"/>
      <c r="D43" s="56"/>
      <c r="E43" s="56">
        <f>B43+C43-D43</f>
        <v>0.3</v>
      </c>
      <c r="F43" s="56">
        <v>0.3</v>
      </c>
      <c r="G43" s="56">
        <v>0</v>
      </c>
      <c r="H43" s="65">
        <v>0.625</v>
      </c>
      <c r="I43" s="58">
        <f>F43*H43</f>
        <v>0.1875</v>
      </c>
      <c r="J43" s="58">
        <f>G43*H43</f>
        <v>0</v>
      </c>
      <c r="K43" s="26">
        <f>IF(I43=0,0,J43/I43)</f>
        <v>0</v>
      </c>
      <c r="L43" s="26">
        <f>IF(J43=0,0,K43/J43)</f>
        <v>0</v>
      </c>
      <c r="M43" s="6">
        <f>+IF(H43&lt;15%,1,IF(H43&lt;30%,2,IF(H43&lt;50%,3,4)))</f>
        <v>4</v>
      </c>
      <c r="N43" s="73"/>
      <c r="O43" s="73"/>
      <c r="P43" s="52"/>
      <c r="Q43" s="52"/>
    </row>
    <row r="44" spans="1:17" ht="12.75" customHeight="1" outlineLevel="2" x14ac:dyDescent="0.25">
      <c r="A44" s="20"/>
      <c r="B44" s="21"/>
      <c r="C44" s="21"/>
      <c r="D44" s="21"/>
      <c r="E44" s="21"/>
      <c r="F44" s="22"/>
      <c r="G44" s="22"/>
      <c r="H44" s="23"/>
      <c r="I44" s="24"/>
      <c r="J44" s="25"/>
      <c r="K44" s="26"/>
      <c r="L44" s="26"/>
      <c r="M44" s="6"/>
      <c r="N44" s="73"/>
      <c r="O44" s="73"/>
      <c r="P44" s="52"/>
      <c r="Q44" s="52"/>
    </row>
    <row r="45" spans="1:17" ht="15" customHeight="1" outlineLevel="2" x14ac:dyDescent="0.25">
      <c r="A45" s="48" t="s">
        <v>90</v>
      </c>
      <c r="B45" s="49">
        <f t="shared" ref="B45:E45" si="9">B47+B48+B49</f>
        <v>11.327703508005008</v>
      </c>
      <c r="C45" s="49">
        <f t="shared" si="9"/>
        <v>0.32875747799999999</v>
      </c>
      <c r="D45" s="49">
        <f t="shared" si="9"/>
        <v>0.40531827799999998</v>
      </c>
      <c r="E45" s="49">
        <f t="shared" si="9"/>
        <v>11.251142708005009</v>
      </c>
      <c r="F45" s="49">
        <f>F47+F48+F49</f>
        <v>11.251142708005009</v>
      </c>
      <c r="G45" s="49">
        <f>G47+G48+G49</f>
        <v>8.4715113724350228</v>
      </c>
      <c r="H45" s="50"/>
      <c r="I45" s="50">
        <f>SUM(I47:I49)</f>
        <v>3.7128770936416533</v>
      </c>
      <c r="J45" s="50">
        <f>SUM(J47:J49)</f>
        <v>2.7955987529035577</v>
      </c>
      <c r="K45" s="51">
        <f>IF(I45=0,0,J45/I45)</f>
        <v>0.75294675325802041</v>
      </c>
      <c r="L45" s="51">
        <f>+I45/$I$89</f>
        <v>5.2179330604073378E-2</v>
      </c>
      <c r="M45" s="6"/>
      <c r="N45" s="72"/>
      <c r="O45" s="73"/>
      <c r="P45" s="52"/>
      <c r="Q45" s="52"/>
    </row>
    <row r="46" spans="1:17" ht="15" customHeight="1" outlineLevel="2" x14ac:dyDescent="0.25">
      <c r="A46" s="20"/>
      <c r="B46" s="21"/>
      <c r="C46" s="21"/>
      <c r="D46" s="21"/>
      <c r="E46" s="21"/>
      <c r="F46" s="22"/>
      <c r="G46" s="22"/>
      <c r="H46" s="23"/>
      <c r="I46" s="24"/>
      <c r="J46" s="25"/>
      <c r="K46" s="26"/>
      <c r="L46" s="26"/>
      <c r="M46" s="6"/>
      <c r="N46" s="52"/>
      <c r="O46" s="52"/>
      <c r="P46" s="52"/>
      <c r="Q46" s="52"/>
    </row>
    <row r="47" spans="1:17" ht="15" customHeight="1" outlineLevel="2" x14ac:dyDescent="0.25">
      <c r="A47" s="55" t="s">
        <v>38</v>
      </c>
      <c r="B47" s="56">
        <f>(MIN((B24-D24)*'data from oilseed masterfile'!P41,B24-D24-G24)*0.57)</f>
        <v>8.8768296504350221</v>
      </c>
      <c r="C47" s="56"/>
      <c r="D47" s="56">
        <f>+'data from oilseed masterfile'!P36</f>
        <v>0.40531827799999998</v>
      </c>
      <c r="E47" s="56">
        <f>B47-D47</f>
        <v>8.4715113724350228</v>
      </c>
      <c r="F47" s="56">
        <f>(B47-D47)</f>
        <v>8.4715113724350228</v>
      </c>
      <c r="G47" s="56">
        <f>F47</f>
        <v>8.4715113724350228</v>
      </c>
      <c r="H47" s="61">
        <v>0.33</v>
      </c>
      <c r="I47" s="58">
        <f>F47*H47</f>
        <v>2.7955987529035577</v>
      </c>
      <c r="J47" s="58">
        <f>G47*H47</f>
        <v>2.7955987529035577</v>
      </c>
      <c r="K47" s="26"/>
      <c r="L47" s="26"/>
      <c r="M47" s="6">
        <f>+IF(H47&lt;15%,1,IF(H47&lt;30%,2,IF(H47&lt;50%,3,4)))</f>
        <v>3</v>
      </c>
      <c r="N47" s="52"/>
      <c r="O47" s="52"/>
      <c r="P47" s="52"/>
      <c r="Q47" s="52"/>
    </row>
    <row r="48" spans="1:17" ht="15" customHeight="1" outlineLevel="2" x14ac:dyDescent="0.25">
      <c r="A48" s="55" t="s">
        <v>39</v>
      </c>
      <c r="B48" s="56">
        <f>C24*'data from oilseed masterfile'!P41*0.57</f>
        <v>2.4508738575699853</v>
      </c>
      <c r="C48" s="56"/>
      <c r="D48" s="56"/>
      <c r="E48" s="56">
        <f>B48-D48</f>
        <v>2.4508738575699853</v>
      </c>
      <c r="F48" s="56">
        <f>(B48-D48)</f>
        <v>2.4508738575699853</v>
      </c>
      <c r="G48" s="56">
        <v>0</v>
      </c>
      <c r="H48" s="61">
        <v>0.33</v>
      </c>
      <c r="I48" s="58">
        <f>F48*H48</f>
        <v>0.80878837299809525</v>
      </c>
      <c r="J48" s="58">
        <f>G48*H48</f>
        <v>0</v>
      </c>
      <c r="K48" s="26"/>
      <c r="L48" s="26"/>
      <c r="M48" s="6">
        <f>+IF(H48&lt;15%,1,IF(H48&lt;30%,2,IF(H48&lt;50%,3,4)))</f>
        <v>3</v>
      </c>
      <c r="N48" s="52"/>
      <c r="O48" s="52"/>
      <c r="P48" s="52"/>
      <c r="Q48" s="52"/>
    </row>
    <row r="49" spans="1:28" ht="15" customHeight="1" outlineLevel="2" x14ac:dyDescent="0.25">
      <c r="A49" s="55" t="s">
        <v>40</v>
      </c>
      <c r="B49" s="56"/>
      <c r="C49" s="56">
        <f>+'data from oilseed masterfile'!P32</f>
        <v>0.32875747799999999</v>
      </c>
      <c r="D49" s="56"/>
      <c r="E49" s="56">
        <f>C49</f>
        <v>0.32875747799999999</v>
      </c>
      <c r="F49" s="56">
        <f>IF((C49-D49)&lt;0,0,C49-D49)</f>
        <v>0.32875747799999999</v>
      </c>
      <c r="G49" s="56">
        <v>0</v>
      </c>
      <c r="H49" s="61">
        <v>0.33</v>
      </c>
      <c r="I49" s="58">
        <f>F49*H49</f>
        <v>0.10848996774</v>
      </c>
      <c r="J49" s="58">
        <f>G49*H49</f>
        <v>0</v>
      </c>
      <c r="K49" s="26"/>
      <c r="L49" s="26"/>
      <c r="M49" s="6">
        <f>+IF(H49&lt;15%,1,IF(H49&lt;30%,2,IF(H49&lt;50%,3,4)))</f>
        <v>3</v>
      </c>
      <c r="N49" s="73"/>
      <c r="O49" s="73"/>
      <c r="P49" s="52"/>
      <c r="Q49" s="52"/>
      <c r="R49" s="52"/>
      <c r="S49" s="52"/>
      <c r="T49" s="52"/>
      <c r="U49" s="52"/>
      <c r="V49" s="52"/>
      <c r="W49" s="52"/>
      <c r="X49" s="52"/>
      <c r="Y49" s="52"/>
      <c r="Z49" s="52"/>
      <c r="AA49" s="52"/>
      <c r="AB49" s="52"/>
    </row>
    <row r="50" spans="1:28" ht="12.75" customHeight="1" outlineLevel="2" x14ac:dyDescent="0.25">
      <c r="A50" s="20"/>
      <c r="B50" s="21"/>
      <c r="C50" s="21"/>
      <c r="D50" s="21"/>
      <c r="E50" s="21"/>
      <c r="F50" s="22"/>
      <c r="G50" s="22"/>
      <c r="H50" s="23"/>
      <c r="I50" s="24"/>
      <c r="J50" s="25"/>
      <c r="K50" s="26"/>
      <c r="L50" s="26"/>
      <c r="M50" s="6"/>
      <c r="N50" s="73"/>
      <c r="O50" s="73"/>
      <c r="P50" s="52"/>
      <c r="Q50" s="52"/>
      <c r="R50" s="52"/>
      <c r="S50" s="52"/>
      <c r="T50" s="52"/>
      <c r="U50" s="52"/>
      <c r="V50" s="52"/>
      <c r="W50" s="52"/>
      <c r="X50" s="52"/>
      <c r="Y50" s="52"/>
      <c r="Z50" s="52"/>
      <c r="AA50" s="52"/>
      <c r="AB50" s="52"/>
    </row>
    <row r="51" spans="1:28" ht="15" customHeight="1" outlineLevel="2" x14ac:dyDescent="0.25">
      <c r="A51" s="48" t="s">
        <v>91</v>
      </c>
      <c r="B51" s="49">
        <f t="shared" ref="B51:E51" si="10">B53+B54+B55</f>
        <v>3.939155661044309</v>
      </c>
      <c r="C51" s="49">
        <f t="shared" si="10"/>
        <v>3.1549706320000004</v>
      </c>
      <c r="D51" s="49">
        <f t="shared" si="10"/>
        <v>0.31943186800000001</v>
      </c>
      <c r="E51" s="49">
        <f t="shared" si="10"/>
        <v>6.7746944250443093</v>
      </c>
      <c r="F51" s="49">
        <f>F53+F54+F55</f>
        <v>6.7746944250443093</v>
      </c>
      <c r="G51" s="49">
        <f>G53+G54+G55</f>
        <v>3.4972955508317609</v>
      </c>
      <c r="H51" s="50"/>
      <c r="I51" s="50">
        <f>SUM(I53:I55)</f>
        <v>2.4388899930159509</v>
      </c>
      <c r="J51" s="50">
        <f>SUM(J53:J55)</f>
        <v>1.2590263982994339</v>
      </c>
      <c r="K51" s="51">
        <f>IF(I51=0,0,J51/I51)</f>
        <v>0.51622926901369248</v>
      </c>
      <c r="L51" s="51">
        <f>+I51/$I$89</f>
        <v>3.4275211390778111E-2</v>
      </c>
      <c r="M51" s="6"/>
      <c r="N51" s="72"/>
      <c r="O51" s="73"/>
      <c r="P51" s="52"/>
      <c r="Q51" s="52"/>
      <c r="R51" s="52"/>
      <c r="S51" s="52"/>
      <c r="T51" s="52"/>
      <c r="U51" s="52"/>
      <c r="V51" s="52"/>
      <c r="W51" s="52"/>
      <c r="X51" s="52"/>
      <c r="Y51" s="52"/>
      <c r="Z51" s="52"/>
      <c r="AA51" s="52"/>
      <c r="AB51" s="52"/>
    </row>
    <row r="52" spans="1:28" ht="15" customHeight="1" outlineLevel="2" x14ac:dyDescent="0.25">
      <c r="A52" s="20"/>
      <c r="B52" s="21"/>
      <c r="C52" s="21"/>
      <c r="D52" s="21"/>
      <c r="E52" s="21"/>
      <c r="F52" s="22"/>
      <c r="G52" s="22"/>
      <c r="H52" s="23"/>
      <c r="I52" s="24"/>
      <c r="J52" s="25"/>
      <c r="K52" s="26"/>
      <c r="L52" s="26"/>
      <c r="M52" s="6"/>
      <c r="N52" s="52"/>
      <c r="O52" s="52"/>
      <c r="P52" s="52"/>
      <c r="Q52" s="52"/>
      <c r="R52" s="52"/>
      <c r="S52" s="52"/>
      <c r="T52" s="52"/>
      <c r="U52" s="52"/>
      <c r="V52" s="52"/>
      <c r="W52" s="52"/>
      <c r="X52" s="52"/>
      <c r="Y52" s="52"/>
      <c r="Z52" s="52"/>
      <c r="AA52" s="52"/>
      <c r="AB52" s="52"/>
    </row>
    <row r="53" spans="1:28" ht="15" customHeight="1" outlineLevel="2" x14ac:dyDescent="0.25">
      <c r="A53" s="55" t="s">
        <v>42</v>
      </c>
      <c r="B53" s="56">
        <f>MIN((B25-D25)*'data from oilseed masterfile'!P42,B25-D25-F25)*55%</f>
        <v>3.816727418831761</v>
      </c>
      <c r="C53" s="56"/>
      <c r="D53" s="56">
        <f>+'data from oilseed masterfile'!P37</f>
        <v>0.31943186800000001</v>
      </c>
      <c r="E53" s="56">
        <f>B53-D53</f>
        <v>3.4972955508317609</v>
      </c>
      <c r="F53" s="56">
        <f>(B53-D53)</f>
        <v>3.4972955508317609</v>
      </c>
      <c r="G53" s="56">
        <f>F53</f>
        <v>3.4972955508317609</v>
      </c>
      <c r="H53" s="61">
        <v>0.36</v>
      </c>
      <c r="I53" s="58">
        <f>F53*H53</f>
        <v>1.2590263982994339</v>
      </c>
      <c r="J53" s="58">
        <f>G53*H53</f>
        <v>1.2590263982994339</v>
      </c>
      <c r="K53" s="26"/>
      <c r="L53" s="26"/>
      <c r="M53" s="6">
        <f>+IF(H53&lt;15%,1,IF(H53&lt;30%,2,IF(H53&lt;50%,3,4)))</f>
        <v>3</v>
      </c>
      <c r="N53" s="52"/>
      <c r="O53" s="52"/>
      <c r="P53" s="52"/>
      <c r="Q53" s="52"/>
      <c r="R53" s="52"/>
      <c r="S53" s="52"/>
      <c r="T53" s="52"/>
      <c r="U53" s="52"/>
      <c r="V53" s="52"/>
      <c r="W53" s="52"/>
      <c r="X53" s="52"/>
      <c r="Y53" s="52"/>
      <c r="Z53" s="52"/>
      <c r="AA53" s="52"/>
      <c r="AB53" s="52"/>
    </row>
    <row r="54" spans="1:28" ht="15" customHeight="1" outlineLevel="2" x14ac:dyDescent="0.25">
      <c r="A54" s="55" t="s">
        <v>43</v>
      </c>
      <c r="B54" s="56">
        <f>C25*'data from oilseed masterfile'!P42*55%</f>
        <v>0.12242824221254808</v>
      </c>
      <c r="C54" s="56"/>
      <c r="D54" s="56"/>
      <c r="E54" s="56">
        <f>B54-D54</f>
        <v>0.12242824221254808</v>
      </c>
      <c r="F54" s="56">
        <f>(B54-D54)</f>
        <v>0.12242824221254808</v>
      </c>
      <c r="G54" s="56">
        <v>0</v>
      </c>
      <c r="H54" s="61">
        <v>0.36</v>
      </c>
      <c r="I54" s="58">
        <f>F54*H54</f>
        <v>4.4074167196517307E-2</v>
      </c>
      <c r="J54" s="58">
        <f>G54*H54</f>
        <v>0</v>
      </c>
      <c r="K54" s="26"/>
      <c r="L54" s="26"/>
      <c r="M54" s="6">
        <f>+IF(H54&lt;15%,1,IF(H54&lt;30%,2,IF(H54&lt;50%,3,4)))</f>
        <v>3</v>
      </c>
      <c r="N54" s="52"/>
      <c r="O54" s="52"/>
      <c r="P54" s="52"/>
      <c r="Q54" s="52"/>
      <c r="R54" s="52"/>
      <c r="S54" s="52"/>
      <c r="T54" s="52"/>
      <c r="U54" s="52"/>
      <c r="V54" s="52"/>
      <c r="W54" s="52"/>
      <c r="X54" s="52"/>
      <c r="Y54" s="52"/>
      <c r="Z54" s="52"/>
      <c r="AA54" s="52"/>
      <c r="AB54" s="52"/>
    </row>
    <row r="55" spans="1:28" ht="15" customHeight="1" outlineLevel="2" x14ac:dyDescent="0.25">
      <c r="A55" s="55" t="s">
        <v>44</v>
      </c>
      <c r="B55" s="56"/>
      <c r="C55" s="56">
        <f>+'data from oilseed masterfile'!P33</f>
        <v>3.1549706320000004</v>
      </c>
      <c r="D55" s="56"/>
      <c r="E55" s="56">
        <f>C55</f>
        <v>3.1549706320000004</v>
      </c>
      <c r="F55" s="56">
        <f>C55-D55</f>
        <v>3.1549706320000004</v>
      </c>
      <c r="G55" s="56">
        <v>0</v>
      </c>
      <c r="H55" s="61">
        <v>0.36</v>
      </c>
      <c r="I55" s="58">
        <f>F55*H55</f>
        <v>1.13578942752</v>
      </c>
      <c r="J55" s="58">
        <f>G55*H55</f>
        <v>0</v>
      </c>
      <c r="K55" s="26"/>
      <c r="L55" s="26"/>
      <c r="M55" s="6">
        <f>+IF(H55&lt;15%,1,IF(H55&lt;30%,2,IF(H55&lt;50%,3,4)))</f>
        <v>3</v>
      </c>
      <c r="N55" s="73"/>
      <c r="O55" s="73"/>
      <c r="P55" s="52"/>
      <c r="Q55" s="52"/>
      <c r="R55" s="52"/>
      <c r="S55" s="52"/>
      <c r="T55" s="52"/>
      <c r="U55" s="52"/>
      <c r="V55" s="52"/>
      <c r="W55" s="52"/>
      <c r="X55" s="52"/>
      <c r="Y55" s="52"/>
      <c r="Z55" s="52"/>
      <c r="AA55" s="52"/>
      <c r="AB55" s="52"/>
    </row>
    <row r="56" spans="1:28" ht="12.75" customHeight="1" outlineLevel="2" x14ac:dyDescent="0.25">
      <c r="A56" s="20"/>
      <c r="B56" s="21"/>
      <c r="C56" s="21"/>
      <c r="D56" s="21"/>
      <c r="E56" s="21"/>
      <c r="F56" s="22"/>
      <c r="G56" s="22"/>
      <c r="H56" s="23"/>
      <c r="I56" s="24"/>
      <c r="J56" s="25"/>
      <c r="K56" s="26"/>
      <c r="L56" s="26"/>
      <c r="M56" s="6"/>
      <c r="N56" s="73"/>
      <c r="O56" s="73"/>
      <c r="P56" s="52"/>
      <c r="Q56" s="52"/>
      <c r="R56" s="52"/>
      <c r="S56" s="52"/>
      <c r="T56" s="52"/>
      <c r="U56" s="52"/>
      <c r="V56" s="52"/>
      <c r="W56" s="52"/>
      <c r="X56" s="52"/>
      <c r="Y56" s="52"/>
      <c r="Z56" s="52"/>
      <c r="AA56" s="52"/>
      <c r="AB56" s="52"/>
    </row>
    <row r="57" spans="1:28" ht="15" customHeight="1" outlineLevel="2" x14ac:dyDescent="0.25">
      <c r="A57" s="48" t="s">
        <v>92</v>
      </c>
      <c r="B57" s="49">
        <f t="shared" ref="B57:E57" si="11">B59+B60+B61</f>
        <v>0.59</v>
      </c>
      <c r="C57" s="49">
        <f t="shared" si="11"/>
        <v>2.1763867449999998</v>
      </c>
      <c r="D57" s="49">
        <f t="shared" si="11"/>
        <v>0.14024467400000001</v>
      </c>
      <c r="E57" s="49">
        <f t="shared" si="11"/>
        <v>2.6261420709999999</v>
      </c>
      <c r="F57" s="49">
        <f>F59+F60+F61</f>
        <v>2.6261420709999999</v>
      </c>
      <c r="G57" s="49">
        <f>G59+G60+G61</f>
        <v>0.17621049499999997</v>
      </c>
      <c r="H57" s="50"/>
      <c r="I57" s="50">
        <f>SUM(I59:I61)</f>
        <v>0.53327134849000002</v>
      </c>
      <c r="J57" s="50">
        <f>SUM(J59:J61)</f>
        <v>7.7481071689999986E-2</v>
      </c>
      <c r="K57" s="51">
        <f>IF(I57=0,0,J57/I57)</f>
        <v>0.14529389570505477</v>
      </c>
      <c r="L57" s="51">
        <f>+I57/$I$89</f>
        <v>7.4943881234829065E-3</v>
      </c>
      <c r="M57" s="6"/>
      <c r="N57" s="73"/>
      <c r="O57" s="73"/>
      <c r="P57" s="52"/>
      <c r="Q57" s="52"/>
      <c r="R57" s="52"/>
      <c r="S57" s="52"/>
      <c r="T57" s="52"/>
      <c r="U57" s="52"/>
      <c r="V57" s="52"/>
      <c r="W57" s="52"/>
      <c r="X57" s="52"/>
      <c r="Y57" s="52"/>
      <c r="Z57" s="52"/>
      <c r="AA57" s="52"/>
      <c r="AB57" s="52"/>
    </row>
    <row r="58" spans="1:28" ht="15" customHeight="1" outlineLevel="2" x14ac:dyDescent="0.25">
      <c r="A58" s="20"/>
      <c r="B58" s="21"/>
      <c r="C58" s="21"/>
      <c r="D58" s="21"/>
      <c r="E58" s="21"/>
      <c r="F58" s="22"/>
      <c r="G58" s="22"/>
      <c r="H58" s="23"/>
      <c r="I58" s="24"/>
      <c r="J58" s="25"/>
      <c r="K58" s="26"/>
      <c r="L58" s="26"/>
      <c r="M58" s="6"/>
      <c r="N58" s="73"/>
      <c r="O58" s="73"/>
      <c r="P58" s="52"/>
      <c r="Q58" s="52"/>
      <c r="R58" s="52"/>
      <c r="S58" s="52"/>
      <c r="T58" s="52"/>
      <c r="U58" s="52"/>
      <c r="V58" s="52"/>
      <c r="W58" s="52"/>
      <c r="X58" s="52"/>
      <c r="Y58" s="52"/>
      <c r="Z58" s="52"/>
      <c r="AA58" s="52"/>
      <c r="AB58" s="52"/>
    </row>
    <row r="59" spans="1:28" ht="15" customHeight="1" outlineLevel="2" x14ac:dyDescent="0.25">
      <c r="A59" s="55" t="s">
        <v>46</v>
      </c>
      <c r="B59" s="56">
        <v>0</v>
      </c>
      <c r="C59" s="56">
        <v>2.0954803279999998</v>
      </c>
      <c r="D59" s="56">
        <v>5.8491373999999999E-2</v>
      </c>
      <c r="E59" s="56">
        <f>B59+C59-D59</f>
        <v>2.0369889539999999</v>
      </c>
      <c r="F59" s="56">
        <f>E59</f>
        <v>2.0369889539999999</v>
      </c>
      <c r="G59" s="56">
        <f>IF(B59&gt;E59,F59,F59*(B59-D59)/E59)</f>
        <v>-5.8491373999999999E-2</v>
      </c>
      <c r="H59" s="63">
        <v>0.16</v>
      </c>
      <c r="I59" s="58">
        <f>F59*H59</f>
        <v>0.32591823263999997</v>
      </c>
      <c r="J59" s="58">
        <f>G59*H59</f>
        <v>-9.3586198400000004E-3</v>
      </c>
      <c r="K59" s="26"/>
      <c r="L59" s="26"/>
      <c r="M59" s="6">
        <f>+IF(H59&lt;15%,1,IF(H59&lt;30%,2,IF(H59&lt;50%,3,4)))</f>
        <v>2</v>
      </c>
      <c r="N59" s="52"/>
      <c r="O59" s="52"/>
      <c r="P59" s="52"/>
      <c r="Q59" s="52"/>
      <c r="R59" s="52"/>
      <c r="S59" s="52"/>
      <c r="T59" s="52"/>
      <c r="U59" s="52"/>
      <c r="V59" s="52"/>
      <c r="W59" s="52"/>
      <c r="X59" s="52"/>
      <c r="Y59" s="52"/>
      <c r="Z59" s="52"/>
      <c r="AA59" s="52"/>
      <c r="AB59" s="52"/>
    </row>
    <row r="60" spans="1:28" ht="15" customHeight="1" outlineLevel="2" x14ac:dyDescent="0.25">
      <c r="A60" s="55" t="s">
        <v>47</v>
      </c>
      <c r="B60" s="56">
        <v>0.35199999999999998</v>
      </c>
      <c r="C60" s="56">
        <v>7.9163029999999995E-3</v>
      </c>
      <c r="D60" s="56">
        <v>5.4650549999999999E-3</v>
      </c>
      <c r="E60" s="56">
        <f>B60+C60-D60</f>
        <v>0.354451248</v>
      </c>
      <c r="F60" s="56">
        <f>E60</f>
        <v>0.354451248</v>
      </c>
      <c r="G60" s="56">
        <v>0</v>
      </c>
      <c r="H60" s="61">
        <v>0.34</v>
      </c>
      <c r="I60" s="58">
        <f>F60*H60</f>
        <v>0.12051342432000001</v>
      </c>
      <c r="J60" s="58">
        <f>G60*H60</f>
        <v>0</v>
      </c>
      <c r="K60" s="26"/>
      <c r="L60" s="26"/>
      <c r="M60" s="6">
        <f>+IF(H60&lt;15%,1,IF(H60&lt;30%,2,IF(H60&lt;50%,3,4)))</f>
        <v>3</v>
      </c>
      <c r="N60" s="52"/>
      <c r="O60" s="52"/>
      <c r="P60" s="52"/>
      <c r="Q60" s="52"/>
      <c r="R60" s="52"/>
      <c r="S60" s="52"/>
      <c r="T60" s="52"/>
      <c r="U60" s="52"/>
      <c r="V60" s="52"/>
      <c r="W60" s="52"/>
      <c r="X60" s="52"/>
      <c r="Y60" s="52"/>
      <c r="Z60" s="52"/>
      <c r="AA60" s="52"/>
      <c r="AB60" s="52"/>
    </row>
    <row r="61" spans="1:28" ht="15" customHeight="1" outlineLevel="2" x14ac:dyDescent="0.25">
      <c r="A61" s="55" t="s">
        <v>48</v>
      </c>
      <c r="B61" s="56">
        <v>0.23799999999999999</v>
      </c>
      <c r="C61" s="56">
        <v>7.2990113999999995E-2</v>
      </c>
      <c r="D61" s="56">
        <v>7.6288245000000005E-2</v>
      </c>
      <c r="E61" s="56">
        <f>B61+C61-D61</f>
        <v>0.23470186899999998</v>
      </c>
      <c r="F61" s="56">
        <f>E61</f>
        <v>0.23470186899999998</v>
      </c>
      <c r="G61" s="56">
        <f>IF(B61&gt;E61,F61,F61*(B61-D61)/E61)</f>
        <v>0.23470186899999998</v>
      </c>
      <c r="H61" s="61">
        <v>0.37</v>
      </c>
      <c r="I61" s="58">
        <f>F61*H61</f>
        <v>8.6839691529999985E-2</v>
      </c>
      <c r="J61" s="58">
        <f>G61*H61</f>
        <v>8.6839691529999985E-2</v>
      </c>
      <c r="K61" s="26"/>
      <c r="L61" s="26"/>
      <c r="M61" s="6">
        <f>+IF(H61&lt;15%,1,IF(H61&lt;30%,2,IF(H61&lt;50%,3,4)))</f>
        <v>3</v>
      </c>
      <c r="N61" s="52"/>
      <c r="O61" s="52"/>
      <c r="P61" s="52"/>
      <c r="Q61" s="52"/>
      <c r="R61" s="52"/>
      <c r="S61" s="52"/>
      <c r="T61" s="52"/>
      <c r="U61" s="52"/>
      <c r="V61" s="52"/>
      <c r="W61" s="52"/>
      <c r="X61" s="52"/>
      <c r="Y61" s="52"/>
      <c r="Z61" s="52"/>
      <c r="AA61" s="52"/>
      <c r="AB61" s="52"/>
    </row>
    <row r="62" spans="1:28" ht="12.75" customHeight="1" outlineLevel="2" x14ac:dyDescent="0.25">
      <c r="A62" s="20"/>
      <c r="B62" s="21"/>
      <c r="C62" s="21"/>
      <c r="D62" s="21"/>
      <c r="E62" s="21"/>
      <c r="F62" s="22"/>
      <c r="G62" s="22"/>
      <c r="H62" s="23"/>
      <c r="I62" s="24"/>
      <c r="J62" s="25"/>
      <c r="K62" s="26"/>
      <c r="L62" s="26"/>
      <c r="M62" s="6"/>
      <c r="N62" s="73"/>
      <c r="O62" s="73"/>
      <c r="P62" s="52"/>
      <c r="Q62" s="52"/>
      <c r="R62" s="52"/>
      <c r="S62" s="52"/>
      <c r="T62" s="52"/>
      <c r="U62" s="52"/>
      <c r="V62" s="52"/>
      <c r="W62" s="52"/>
      <c r="X62" s="52"/>
      <c r="Y62" s="52"/>
      <c r="Z62" s="52"/>
      <c r="AA62" s="52"/>
      <c r="AB62" s="52"/>
    </row>
    <row r="63" spans="1:28" ht="19.5" customHeight="1" outlineLevel="1" x14ac:dyDescent="0.25">
      <c r="A63" s="48" t="s">
        <v>49</v>
      </c>
      <c r="B63" s="49">
        <f t="shared" ref="B63:E63" si="12">SUM(B65:B72)</f>
        <v>32.490762418211453</v>
      </c>
      <c r="C63" s="49">
        <f t="shared" si="12"/>
        <v>3.690190082</v>
      </c>
      <c r="D63" s="49">
        <f t="shared" si="12"/>
        <v>1.015170275</v>
      </c>
      <c r="E63" s="49">
        <f t="shared" si="12"/>
        <v>35.165782225211458</v>
      </c>
      <c r="F63" s="49">
        <f>SUM(F65:F72)</f>
        <v>31.440368931408219</v>
      </c>
      <c r="G63" s="49">
        <f>SUM(G65:G72)</f>
        <v>29.78499908940822</v>
      </c>
      <c r="H63" s="50"/>
      <c r="I63" s="50">
        <f>SUM(I65:I72)</f>
        <v>4.7225251922192202</v>
      </c>
      <c r="J63" s="50">
        <f>SUM(J65:J72)</f>
        <v>4.5267038601262195</v>
      </c>
      <c r="K63" s="51">
        <f>IF(I63=0,0,J63/I63)</f>
        <v>0.95853461355470715</v>
      </c>
      <c r="L63" s="51">
        <f>+I63/$I$89</f>
        <v>6.6368532293424418E-2</v>
      </c>
      <c r="M63" s="6"/>
      <c r="N63" s="52"/>
      <c r="O63" s="52"/>
      <c r="P63" s="52"/>
      <c r="Q63" s="52"/>
      <c r="R63" s="52"/>
      <c r="S63" s="52"/>
      <c r="T63" s="52"/>
      <c r="U63" s="52"/>
      <c r="V63" s="52"/>
      <c r="W63" s="52"/>
      <c r="X63" s="52"/>
      <c r="Y63" s="52"/>
      <c r="Z63" s="52"/>
      <c r="AA63" s="52"/>
      <c r="AB63" s="52"/>
    </row>
    <row r="64" spans="1:28" ht="15" customHeight="1" outlineLevel="2" x14ac:dyDescent="0.25">
      <c r="A64" s="20"/>
      <c r="B64" s="21"/>
      <c r="C64" s="21"/>
      <c r="D64" s="21"/>
      <c r="E64" s="21"/>
      <c r="F64" s="22"/>
      <c r="G64" s="22"/>
      <c r="H64" s="23"/>
      <c r="I64" s="24"/>
      <c r="J64" s="25"/>
      <c r="K64" s="26"/>
      <c r="L64" s="26"/>
      <c r="M64" s="6"/>
      <c r="N64" s="52"/>
      <c r="O64" s="52"/>
      <c r="P64" s="52"/>
      <c r="Q64" s="52"/>
      <c r="R64" s="52"/>
      <c r="S64" s="52"/>
      <c r="T64" s="52"/>
      <c r="U64" s="52"/>
      <c r="V64" s="52"/>
      <c r="W64" s="52"/>
      <c r="X64" s="52"/>
      <c r="Y64" s="52"/>
      <c r="Z64" s="52"/>
      <c r="AA64" s="52"/>
      <c r="AB64" s="52"/>
    </row>
    <row r="65" spans="1:28" ht="15" customHeight="1" outlineLevel="2" x14ac:dyDescent="0.25">
      <c r="A65" s="55" t="s">
        <v>50</v>
      </c>
      <c r="B65" s="56">
        <v>3.7347411629381875</v>
      </c>
      <c r="C65" s="67">
        <v>0.41554606700000007</v>
      </c>
      <c r="D65" s="67">
        <v>0.20894373099999999</v>
      </c>
      <c r="E65" s="56">
        <f t="shared" ref="E65:E67" si="13">B65+C65-D65</f>
        <v>3.941343498938187</v>
      </c>
      <c r="F65" s="56">
        <f>E65</f>
        <v>3.941343498938187</v>
      </c>
      <c r="G65" s="56">
        <f>+F65</f>
        <v>3.941343498938187</v>
      </c>
      <c r="H65" s="63">
        <v>0.19</v>
      </c>
      <c r="I65" s="58">
        <f>F65*H65</f>
        <v>0.74885526479825559</v>
      </c>
      <c r="J65" s="58">
        <f>G65*H65</f>
        <v>0.74885526479825559</v>
      </c>
      <c r="K65" s="26"/>
      <c r="L65" s="26"/>
      <c r="M65" s="6">
        <f t="shared" ref="M65:M71" si="14">+IF(H65&lt;15%,1,IF(H65&lt;30%,2,IF(H65&lt;50%,3,4)))</f>
        <v>2</v>
      </c>
      <c r="N65" s="52"/>
      <c r="O65" s="52"/>
      <c r="P65" s="52"/>
      <c r="Q65" s="52"/>
      <c r="R65" s="52"/>
      <c r="S65" s="52"/>
      <c r="T65" s="52"/>
      <c r="U65" s="52"/>
      <c r="V65" s="52"/>
      <c r="W65" s="52"/>
      <c r="X65" s="52"/>
      <c r="Y65" s="52"/>
      <c r="Z65" s="52"/>
      <c r="AA65" s="52"/>
      <c r="AB65" s="52"/>
    </row>
    <row r="66" spans="1:28" ht="15.75" outlineLevel="2" x14ac:dyDescent="0.25">
      <c r="A66" s="55" t="s">
        <v>51</v>
      </c>
      <c r="B66" s="56">
        <v>0.94072831230808918</v>
      </c>
      <c r="C66" s="67"/>
      <c r="D66" s="67"/>
      <c r="E66" s="56">
        <f t="shared" si="13"/>
        <v>0.94072831230808918</v>
      </c>
      <c r="F66" s="56">
        <v>0.63220575907645482</v>
      </c>
      <c r="G66" s="56">
        <f>+F66</f>
        <v>0.63220575907645482</v>
      </c>
      <c r="H66" s="65">
        <v>0.73</v>
      </c>
      <c r="I66" s="58">
        <f>F66*H66</f>
        <v>0.46151020412581201</v>
      </c>
      <c r="J66" s="58">
        <f>G66*H66</f>
        <v>0.46151020412581201</v>
      </c>
      <c r="K66" s="26"/>
      <c r="L66" s="26"/>
      <c r="M66" s="6">
        <f t="shared" si="14"/>
        <v>4</v>
      </c>
      <c r="N66" s="52"/>
      <c r="O66" s="52"/>
      <c r="P66" s="52"/>
      <c r="Q66" s="52"/>
      <c r="R66" s="52"/>
      <c r="S66" s="52"/>
      <c r="T66" s="52"/>
      <c r="U66" s="52"/>
      <c r="V66" s="52"/>
      <c r="W66" s="52"/>
      <c r="X66" s="52"/>
      <c r="Y66" s="52"/>
      <c r="Z66" s="52"/>
      <c r="AA66" s="52"/>
      <c r="AB66" s="52"/>
    </row>
    <row r="67" spans="1:28" ht="29.25" customHeight="1" outlineLevel="2" x14ac:dyDescent="0.25">
      <c r="A67" s="66" t="s">
        <v>52</v>
      </c>
      <c r="B67" s="67">
        <f>'data from cereal masterfile'!B60*(B77*0.362+(1-B77)*0.276)</f>
        <v>4.1937237344157694</v>
      </c>
      <c r="C67" s="67">
        <v>0.35455762899999993</v>
      </c>
      <c r="D67" s="67">
        <v>0.21195978100000004</v>
      </c>
      <c r="E67" s="67">
        <f t="shared" si="13"/>
        <v>4.3363215824157697</v>
      </c>
      <c r="F67" s="67">
        <f>E67</f>
        <v>4.3363215824157697</v>
      </c>
      <c r="G67" s="67">
        <f>IF(B67&gt;E67,F67,F67*(B67-D67)/E67)</f>
        <v>3.9817639534157694</v>
      </c>
      <c r="H67" s="68" t="s">
        <v>53</v>
      </c>
      <c r="I67" s="69">
        <f>(B67-D67)*0.3+C67*0.27</f>
        <v>1.2902597458547307</v>
      </c>
      <c r="J67" s="69">
        <f>(B67-D67)*0.3</f>
        <v>1.1945291860247307</v>
      </c>
      <c r="K67" s="26"/>
      <c r="L67" s="26"/>
      <c r="M67" s="6">
        <v>2</v>
      </c>
      <c r="N67" s="52"/>
      <c r="O67" s="52"/>
      <c r="P67" s="52"/>
      <c r="Q67" s="52"/>
      <c r="R67" s="52"/>
      <c r="S67" s="52"/>
      <c r="T67" s="52"/>
      <c r="U67" s="52"/>
      <c r="V67" s="52"/>
      <c r="W67" s="52"/>
      <c r="X67" s="52"/>
      <c r="Y67" s="52"/>
      <c r="Z67" s="52"/>
      <c r="AA67" s="52"/>
      <c r="AB67" s="52"/>
    </row>
    <row r="68" spans="1:28" ht="15" customHeight="1" outlineLevel="2" x14ac:dyDescent="0.25">
      <c r="A68" s="55" t="s">
        <v>54</v>
      </c>
      <c r="B68" s="56">
        <v>5.7804490430750004</v>
      </c>
      <c r="C68" s="67"/>
      <c r="D68" s="67"/>
      <c r="E68" s="56">
        <f>+B68+C68-D68</f>
        <v>5.7804490430750004</v>
      </c>
      <c r="F68" s="56">
        <f>+E68</f>
        <v>5.7804490430750004</v>
      </c>
      <c r="G68" s="56">
        <f>+F68</f>
        <v>5.7804490430750004</v>
      </c>
      <c r="H68" s="57">
        <v>5.3999999999999999E-2</v>
      </c>
      <c r="I68" s="58">
        <f>+F68*$H$68</f>
        <v>0.31214424832605003</v>
      </c>
      <c r="J68" s="58">
        <f>+G68*$H$68</f>
        <v>0.31214424832605003</v>
      </c>
      <c r="K68" s="26"/>
      <c r="L68" s="26"/>
      <c r="M68" s="6">
        <f t="shared" si="14"/>
        <v>1</v>
      </c>
      <c r="N68" s="52"/>
      <c r="O68" s="52"/>
      <c r="P68" s="52"/>
      <c r="Q68" s="52"/>
      <c r="R68" s="52"/>
      <c r="S68" s="52"/>
      <c r="T68" s="52"/>
      <c r="U68" s="52"/>
      <c r="V68" s="52"/>
      <c r="W68" s="52"/>
      <c r="X68" s="52"/>
      <c r="Y68" s="52"/>
      <c r="Z68" s="52"/>
      <c r="AA68" s="52"/>
      <c r="AB68" s="52"/>
    </row>
    <row r="69" spans="1:28" ht="15" customHeight="1" outlineLevel="2" x14ac:dyDescent="0.25">
      <c r="A69" s="55" t="s">
        <v>55</v>
      </c>
      <c r="B69" s="56">
        <f>('data from cereal masterfile'!B63+'data from cereal masterfile'!B65)*0.15</f>
        <v>7.2724308383644072</v>
      </c>
      <c r="C69" s="67">
        <v>1.5114051000000002E-2</v>
      </c>
      <c r="D69" s="67">
        <v>0.127641119</v>
      </c>
      <c r="E69" s="56">
        <f>B69+C69-D69</f>
        <v>7.1599037703644077</v>
      </c>
      <c r="F69" s="56">
        <f>E69</f>
        <v>7.1599037703644077</v>
      </c>
      <c r="G69" s="56">
        <f>IF(B69&gt;E69,F69,F69*(B69-D69)/E69)</f>
        <v>7.1599037703644077</v>
      </c>
      <c r="H69" s="71">
        <v>0.155</v>
      </c>
      <c r="I69" s="58">
        <f>F69*H69</f>
        <v>1.1097850844064832</v>
      </c>
      <c r="J69" s="58">
        <f>G69*H69</f>
        <v>1.1097850844064832</v>
      </c>
      <c r="K69" s="26"/>
      <c r="L69" s="26"/>
      <c r="M69" s="6">
        <f t="shared" si="14"/>
        <v>2</v>
      </c>
      <c r="N69" s="52"/>
      <c r="O69" s="52"/>
      <c r="P69" s="52"/>
      <c r="Q69" s="134"/>
      <c r="R69" s="52"/>
      <c r="S69" s="52"/>
      <c r="T69" s="52"/>
      <c r="U69" s="52"/>
      <c r="V69" s="52"/>
      <c r="W69" s="72"/>
      <c r="X69" s="73"/>
      <c r="Y69" s="73"/>
      <c r="Z69" s="73"/>
      <c r="AA69" s="74"/>
      <c r="AB69" s="74"/>
    </row>
    <row r="70" spans="1:28" ht="15.75" outlineLevel="2" x14ac:dyDescent="0.25">
      <c r="A70" s="55" t="s">
        <v>56</v>
      </c>
      <c r="B70" s="56">
        <v>0</v>
      </c>
      <c r="C70" s="67">
        <v>0.70304261400000012</v>
      </c>
      <c r="D70" s="67">
        <v>3.4694473000000003E-2</v>
      </c>
      <c r="E70" s="56">
        <f>B70+C70-D70</f>
        <v>0.66834814100000006</v>
      </c>
      <c r="F70" s="56">
        <f>E70</f>
        <v>0.66834814100000006</v>
      </c>
      <c r="G70" s="56">
        <f>IF(B70&gt;E70,F70,F70*B70/E70)</f>
        <v>0</v>
      </c>
      <c r="H70" s="57">
        <v>7.4999999999999997E-2</v>
      </c>
      <c r="I70" s="58">
        <f>F70*H70</f>
        <v>5.0126110575000001E-2</v>
      </c>
      <c r="J70" s="58">
        <f>G70*H70</f>
        <v>0</v>
      </c>
      <c r="K70" s="26"/>
      <c r="L70" s="26"/>
      <c r="M70" s="6">
        <f t="shared" si="14"/>
        <v>1</v>
      </c>
      <c r="N70" s="52"/>
      <c r="O70" s="52"/>
      <c r="P70" s="52"/>
      <c r="Q70" s="134"/>
      <c r="R70" s="135"/>
      <c r="S70" s="52"/>
      <c r="T70" s="52"/>
      <c r="U70" s="52"/>
      <c r="V70" s="52"/>
      <c r="W70" s="72"/>
      <c r="X70" s="73"/>
      <c r="Y70" s="72"/>
      <c r="Z70" s="75"/>
      <c r="AA70" s="76"/>
      <c r="AB70" s="74"/>
    </row>
    <row r="71" spans="1:28" ht="15" customHeight="1" outlineLevel="2" x14ac:dyDescent="0.25">
      <c r="A71" s="55" t="s">
        <v>57</v>
      </c>
      <c r="B71" s="56">
        <v>7.0457928847400009</v>
      </c>
      <c r="C71" s="67">
        <v>0.63246407199999988</v>
      </c>
      <c r="D71" s="67">
        <v>0.36440840400000002</v>
      </c>
      <c r="E71" s="56">
        <f>B71+C71-D71</f>
        <v>7.3138485527400006</v>
      </c>
      <c r="F71" s="56">
        <f>E71</f>
        <v>7.3138485527400006</v>
      </c>
      <c r="G71" s="56">
        <f>IF(B71&gt;E71,F71,F71*(B71-D71)/E71)</f>
        <v>6.6813844807400011</v>
      </c>
      <c r="H71" s="57">
        <v>7.9000000000000001E-2</v>
      </c>
      <c r="I71" s="58">
        <f>F71*H71</f>
        <v>0.57779403566646004</v>
      </c>
      <c r="J71" s="58">
        <f>G71*H71</f>
        <v>0.52782937397846008</v>
      </c>
      <c r="K71" s="26"/>
      <c r="L71" s="26"/>
      <c r="M71" s="6">
        <f t="shared" si="14"/>
        <v>1</v>
      </c>
      <c r="N71" s="52"/>
      <c r="O71" s="52"/>
      <c r="P71" s="52"/>
      <c r="Q71" s="52"/>
      <c r="R71" s="52"/>
      <c r="S71" s="52"/>
      <c r="T71" s="52"/>
      <c r="U71" s="52"/>
      <c r="V71" s="52"/>
      <c r="W71" s="52"/>
      <c r="X71" s="52"/>
      <c r="Y71" s="52"/>
      <c r="Z71" s="52"/>
      <c r="AA71" s="52"/>
      <c r="AB71" s="52"/>
    </row>
    <row r="72" spans="1:28" ht="30" customHeight="1" outlineLevel="2" x14ac:dyDescent="0.25">
      <c r="A72" s="66" t="s">
        <v>58</v>
      </c>
      <c r="B72" s="67">
        <v>3.5228964423700004</v>
      </c>
      <c r="C72" s="67">
        <v>1.5694656489999999</v>
      </c>
      <c r="D72" s="67">
        <v>6.7522767000000011E-2</v>
      </c>
      <c r="E72" s="67">
        <f>B72+C72-D72</f>
        <v>5.0248393243700002</v>
      </c>
      <c r="F72" s="67">
        <f>E72*0.32</f>
        <v>1.6079485837984002</v>
      </c>
      <c r="G72" s="67">
        <f>+IF(B72&gt;F72,F72,B72-D72)</f>
        <v>1.6079485837984002</v>
      </c>
      <c r="H72" s="77" t="s">
        <v>95</v>
      </c>
      <c r="I72" s="69">
        <f>G72*0.107+(F72-G72)*0.042</f>
        <v>0.17205049846642881</v>
      </c>
      <c r="J72" s="69">
        <f>G72*0.107</f>
        <v>0.17205049846642881</v>
      </c>
      <c r="K72" s="26"/>
      <c r="L72" s="26"/>
      <c r="M72" s="6">
        <v>1</v>
      </c>
      <c r="N72" s="52"/>
      <c r="O72" s="52"/>
      <c r="P72" s="52"/>
      <c r="Q72" s="52"/>
      <c r="R72" s="52"/>
      <c r="S72" s="52"/>
      <c r="T72" s="52"/>
      <c r="U72" s="52"/>
      <c r="V72" s="52"/>
      <c r="W72" s="52"/>
      <c r="X72" s="52"/>
      <c r="Y72" s="52"/>
      <c r="Z72" s="52"/>
      <c r="AA72" s="52"/>
      <c r="AB72" s="52"/>
    </row>
    <row r="73" spans="1:28" ht="12.75" customHeight="1" x14ac:dyDescent="0.25">
      <c r="A73" s="20"/>
      <c r="B73" s="21"/>
      <c r="C73" s="21"/>
      <c r="D73" s="21"/>
      <c r="E73" s="21"/>
      <c r="F73" s="22"/>
      <c r="G73" s="22"/>
      <c r="H73" s="23"/>
      <c r="I73" s="24"/>
      <c r="J73" s="25"/>
      <c r="K73" s="26"/>
      <c r="L73" s="26"/>
      <c r="M73" s="6"/>
      <c r="N73" s="52"/>
      <c r="O73" s="52"/>
      <c r="P73" s="52"/>
      <c r="Q73" s="52"/>
      <c r="R73" s="52"/>
      <c r="S73" s="52"/>
      <c r="T73" s="52"/>
      <c r="U73" s="52"/>
      <c r="V73" s="52"/>
      <c r="W73" s="52"/>
      <c r="X73" s="52"/>
      <c r="Y73" s="52"/>
      <c r="Z73" s="52"/>
      <c r="AA73" s="52"/>
      <c r="AB73" s="52"/>
    </row>
    <row r="74" spans="1:28" ht="36.75" customHeight="1" x14ac:dyDescent="0.25">
      <c r="A74" s="27" t="s">
        <v>60</v>
      </c>
      <c r="B74" s="28"/>
      <c r="C74" s="28"/>
      <c r="D74" s="28"/>
      <c r="E74" s="28"/>
      <c r="F74" s="29">
        <f>SUM(F76:F80)</f>
        <v>5.9390842107252535</v>
      </c>
      <c r="G74" s="29">
        <f>SUM(G76:G80)</f>
        <v>5.7418862446235268</v>
      </c>
      <c r="H74" s="30"/>
      <c r="I74" s="30">
        <f>SUM(I76:I80)</f>
        <v>1.6337823777428331</v>
      </c>
      <c r="J74" s="30">
        <f>SUM(J76:J80)</f>
        <v>1.5074691304004575</v>
      </c>
      <c r="K74" s="31">
        <f>IF(I74=0,0,J74/I74)</f>
        <v>0.9226866141640695</v>
      </c>
      <c r="L74" s="31">
        <f>+I74/$I$89</f>
        <v>2.2960542100718462E-2</v>
      </c>
      <c r="M74" s="6"/>
      <c r="N74" s="52"/>
      <c r="O74" s="52"/>
      <c r="P74" s="52"/>
      <c r="Q74" s="52"/>
      <c r="R74" s="52"/>
      <c r="S74" s="52"/>
      <c r="T74" s="52"/>
      <c r="U74" s="52"/>
      <c r="V74" s="52"/>
      <c r="W74" s="52"/>
      <c r="X74" s="52"/>
      <c r="Y74" s="52"/>
      <c r="Z74" s="52"/>
      <c r="AA74" s="52"/>
      <c r="AB74" s="52"/>
    </row>
    <row r="75" spans="1:28" ht="15" customHeight="1" outlineLevel="1" x14ac:dyDescent="0.25">
      <c r="A75" s="20" t="s">
        <v>61</v>
      </c>
      <c r="B75" s="21"/>
      <c r="C75" s="21"/>
      <c r="D75" s="21"/>
      <c r="E75" s="21"/>
      <c r="F75" s="22"/>
      <c r="G75" s="22"/>
      <c r="H75" s="23"/>
      <c r="I75" s="24"/>
      <c r="J75" s="25"/>
      <c r="K75" s="26"/>
      <c r="L75" s="26"/>
      <c r="M75" s="6"/>
      <c r="N75" s="52"/>
      <c r="O75" s="52"/>
      <c r="P75" s="52"/>
      <c r="Q75" s="52"/>
      <c r="R75" s="52"/>
      <c r="S75" s="52"/>
      <c r="T75" s="52"/>
      <c r="U75" s="52"/>
      <c r="V75" s="52"/>
      <c r="W75" s="52"/>
      <c r="X75" s="52"/>
      <c r="Y75" s="52"/>
      <c r="Z75" s="52"/>
      <c r="AA75" s="52"/>
      <c r="AB75" s="52"/>
    </row>
    <row r="76" spans="1:28" ht="15" customHeight="1" outlineLevel="1" x14ac:dyDescent="0.25">
      <c r="A76" s="55" t="s">
        <v>96</v>
      </c>
      <c r="B76" s="56">
        <v>0.39200000000000002</v>
      </c>
      <c r="C76" s="56">
        <v>0.38253239199999994</v>
      </c>
      <c r="D76" s="56">
        <v>0.254424449</v>
      </c>
      <c r="E76" s="56">
        <f>B76+C76-D76</f>
        <v>0.52010794299999996</v>
      </c>
      <c r="F76" s="56">
        <f>E76</f>
        <v>0.52010794299999996</v>
      </c>
      <c r="G76" s="56">
        <f>IF(B76&gt;E76,F76,F76*B76/E76)</f>
        <v>0.39200000000000002</v>
      </c>
      <c r="H76" s="65">
        <v>0.65</v>
      </c>
      <c r="I76" s="58">
        <f>F76*H76</f>
        <v>0.33807016294999997</v>
      </c>
      <c r="J76" s="58">
        <f>G76*H76</f>
        <v>0.25480000000000003</v>
      </c>
      <c r="K76" s="26"/>
      <c r="L76" s="26"/>
      <c r="M76" s="6">
        <f>+IF(H76&lt;15%,1,IF(H76&lt;30%,2,IF(H76&lt;50%,3,4)))</f>
        <v>4</v>
      </c>
      <c r="N76" s="52"/>
      <c r="O76" s="52"/>
      <c r="P76" s="52"/>
      <c r="Q76" s="52"/>
      <c r="R76" s="52"/>
      <c r="S76" s="52"/>
      <c r="T76" s="52"/>
      <c r="U76" s="52"/>
      <c r="V76" s="52"/>
      <c r="W76" s="52"/>
      <c r="X76" s="52"/>
      <c r="Y76" s="52"/>
      <c r="Z76" s="52"/>
      <c r="AA76" s="52"/>
      <c r="AB76" s="52"/>
    </row>
    <row r="77" spans="1:28" ht="15.75" outlineLevel="1" x14ac:dyDescent="0.25">
      <c r="A77" s="55" t="s">
        <v>97</v>
      </c>
      <c r="B77" s="56">
        <v>1.6834710668380461</v>
      </c>
      <c r="C77" s="56">
        <v>0.13223499499999999</v>
      </c>
      <c r="D77" s="56">
        <v>0.581288739</v>
      </c>
      <c r="E77" s="56">
        <f>B77+C77-D77</f>
        <v>1.2344173228380462</v>
      </c>
      <c r="F77" s="56">
        <v>0.9</v>
      </c>
      <c r="G77" s="56">
        <v>0.9</v>
      </c>
      <c r="H77" s="57">
        <v>0.125</v>
      </c>
      <c r="I77" s="58">
        <f>F77*H77</f>
        <v>0.1125</v>
      </c>
      <c r="J77" s="58">
        <f>G77*H77</f>
        <v>0.1125</v>
      </c>
      <c r="K77" s="26"/>
      <c r="L77" s="26"/>
      <c r="M77" s="6">
        <f>+IF(H77&lt;15%,1,IF(H77&lt;30%,2,IF(H77&lt;50%,3,4)))</f>
        <v>1</v>
      </c>
      <c r="N77" s="52"/>
      <c r="O77" s="52"/>
      <c r="P77" s="52"/>
      <c r="Q77" s="52"/>
      <c r="R77" s="52"/>
      <c r="S77" s="52"/>
      <c r="T77" s="52"/>
      <c r="U77" s="52"/>
      <c r="V77" s="52"/>
      <c r="W77" s="52"/>
      <c r="X77" s="52"/>
      <c r="Y77" s="52"/>
      <c r="Z77" s="52"/>
      <c r="AA77" s="52"/>
      <c r="AB77" s="52"/>
    </row>
    <row r="78" spans="1:28" ht="15" customHeight="1" outlineLevel="1" x14ac:dyDescent="0.25">
      <c r="A78" s="55" t="s">
        <v>98</v>
      </c>
      <c r="B78" s="56">
        <v>1.040278</v>
      </c>
      <c r="C78" s="56">
        <v>2.0600900000000002E-2</v>
      </c>
      <c r="D78" s="56">
        <v>0.58664154199999996</v>
      </c>
      <c r="E78" s="56">
        <f>B78+C78-D78</f>
        <v>0.47423735800000011</v>
      </c>
      <c r="F78" s="56">
        <v>0.17</v>
      </c>
      <c r="G78" s="56">
        <f>+F78</f>
        <v>0.17</v>
      </c>
      <c r="H78" s="61">
        <v>0.34</v>
      </c>
      <c r="I78" s="58">
        <f>F78*H78</f>
        <v>5.7800000000000011E-2</v>
      </c>
      <c r="J78" s="58">
        <f>G78*H78</f>
        <v>5.7800000000000011E-2</v>
      </c>
      <c r="K78" s="26"/>
      <c r="L78" s="26"/>
      <c r="M78" s="6">
        <f>+IF(H78&lt;15%,1,IF(H78&lt;30%,2,IF(H78&lt;50%,3,4)))</f>
        <v>3</v>
      </c>
      <c r="N78" s="52"/>
      <c r="O78" s="52"/>
      <c r="P78" s="52"/>
      <c r="Q78" s="52"/>
      <c r="R78" s="52"/>
      <c r="S78" s="52"/>
      <c r="T78" s="52"/>
      <c r="U78" s="52"/>
      <c r="V78" s="52"/>
      <c r="W78" s="52"/>
      <c r="X78" s="52"/>
      <c r="Y78" s="52"/>
      <c r="Z78" s="52"/>
      <c r="AA78" s="52"/>
      <c r="AB78" s="52"/>
    </row>
    <row r="79" spans="1:28" ht="15" customHeight="1" outlineLevel="1" x14ac:dyDescent="0.25">
      <c r="A79" s="55" t="s">
        <v>99</v>
      </c>
      <c r="B79" s="56">
        <v>2.2977483001737853</v>
      </c>
      <c r="C79" s="56">
        <v>7.8227764000000005E-2</v>
      </c>
      <c r="D79" s="56">
        <v>0.78688202099999993</v>
      </c>
      <c r="E79" s="56">
        <v>2.0372046087446352</v>
      </c>
      <c r="F79" s="56">
        <v>1.3489762677252537</v>
      </c>
      <c r="G79" s="56">
        <v>1.2798862446235268</v>
      </c>
      <c r="H79" s="65">
        <v>0.623</v>
      </c>
      <c r="I79" s="58">
        <f>F79*H79</f>
        <v>0.84041221479283301</v>
      </c>
      <c r="J79" s="58">
        <f>G79*H79</f>
        <v>0.7973691304004572</v>
      </c>
      <c r="K79" s="78"/>
      <c r="L79" s="78"/>
      <c r="M79" s="6">
        <f>+IF(H79&lt;15%,1,IF(H79&lt;30%,2,IF(H79&lt;50%,3,4)))</f>
        <v>4</v>
      </c>
      <c r="N79" s="52"/>
      <c r="O79" s="52"/>
      <c r="P79" s="52"/>
      <c r="Q79" s="52"/>
      <c r="R79" s="52"/>
      <c r="S79" s="52"/>
      <c r="T79" s="52"/>
      <c r="U79" s="52"/>
      <c r="V79" s="52"/>
      <c r="W79" s="52"/>
      <c r="X79" s="52"/>
      <c r="Y79" s="52"/>
      <c r="Z79" s="52"/>
      <c r="AA79" s="52"/>
      <c r="AB79" s="52"/>
    </row>
    <row r="80" spans="1:28" ht="15" customHeight="1" outlineLevel="1" x14ac:dyDescent="0.25">
      <c r="A80" s="55" t="s">
        <v>100</v>
      </c>
      <c r="B80" s="79"/>
      <c r="C80" s="79"/>
      <c r="D80" s="79"/>
      <c r="E80" s="79"/>
      <c r="F80" s="79">
        <v>3</v>
      </c>
      <c r="G80" s="79">
        <v>3</v>
      </c>
      <c r="H80" s="57">
        <f>0.095</f>
        <v>9.5000000000000001E-2</v>
      </c>
      <c r="I80" s="58">
        <f>F80*H80</f>
        <v>0.28500000000000003</v>
      </c>
      <c r="J80" s="58">
        <f>G80*H80</f>
        <v>0.28500000000000003</v>
      </c>
      <c r="K80" s="26"/>
      <c r="L80" s="26"/>
      <c r="M80" s="6">
        <f>+IF(H80&lt;15%,1,IF(H80&lt;30%,2,IF(H80&lt;50%,3,4)))</f>
        <v>1</v>
      </c>
    </row>
    <row r="81" spans="1:25" ht="12.75" customHeight="1" x14ac:dyDescent="0.25">
      <c r="A81" s="80"/>
      <c r="B81" s="24"/>
      <c r="C81" s="24"/>
      <c r="D81" s="24"/>
      <c r="E81" s="24"/>
      <c r="F81" s="25"/>
      <c r="G81" s="25"/>
      <c r="H81" s="81"/>
      <c r="I81" s="24"/>
      <c r="J81" s="25"/>
      <c r="K81" s="26"/>
      <c r="L81" s="26"/>
      <c r="M81" s="6"/>
    </row>
    <row r="82" spans="1:25" ht="35.25" customHeight="1" x14ac:dyDescent="0.25">
      <c r="A82" s="27" t="s">
        <v>67</v>
      </c>
      <c r="B82" s="28"/>
      <c r="C82" s="28"/>
      <c r="D82" s="28"/>
      <c r="E82" s="28"/>
      <c r="F82" s="82">
        <f>SUM(F84:F87)</f>
        <v>963.86052334485714</v>
      </c>
      <c r="G82" s="82">
        <f>SUM(G84:G87)</f>
        <v>963.86052334485714</v>
      </c>
      <c r="H82" s="30"/>
      <c r="I82" s="82">
        <f>SUM(I84:I87)</f>
        <v>29.849390549761349</v>
      </c>
      <c r="J82" s="82">
        <f>SUM(J84:J87)</f>
        <v>29.849390549761349</v>
      </c>
      <c r="K82" s="31">
        <f>IF(I82=0,0,J82/I82)</f>
        <v>1</v>
      </c>
      <c r="L82" s="31">
        <f>+I82/$I$89</f>
        <v>0.4194917252966372</v>
      </c>
      <c r="M82" s="6"/>
    </row>
    <row r="83" spans="1:25" ht="15" customHeight="1" outlineLevel="1" x14ac:dyDescent="0.25">
      <c r="A83" s="83"/>
      <c r="B83" s="84"/>
      <c r="C83" s="84"/>
      <c r="D83" s="84"/>
      <c r="E83" s="84"/>
      <c r="F83" s="85"/>
      <c r="G83" s="85"/>
      <c r="H83" s="86"/>
      <c r="I83" s="87"/>
      <c r="J83" s="88"/>
      <c r="K83" s="89"/>
      <c r="L83" s="90"/>
      <c r="M83" s="6"/>
    </row>
    <row r="84" spans="1:25" ht="15" customHeight="1" outlineLevel="1" x14ac:dyDescent="0.25">
      <c r="A84" s="55" t="s">
        <v>68</v>
      </c>
      <c r="B84" s="79">
        <v>648.61199923691674</v>
      </c>
      <c r="C84" s="79"/>
      <c r="D84" s="79"/>
      <c r="E84" s="79">
        <f>+B84+C84-D84</f>
        <v>648.61199923691674</v>
      </c>
      <c r="F84" s="79">
        <f t="shared" ref="F84:G86" si="15">+E84</f>
        <v>648.61199923691674</v>
      </c>
      <c r="G84" s="79">
        <f t="shared" si="15"/>
        <v>648.61199923691674</v>
      </c>
      <c r="H84" s="57">
        <v>2.6066712037040814E-2</v>
      </c>
      <c r="I84" s="79">
        <f>+F84*H84</f>
        <v>16.907182207878044</v>
      </c>
      <c r="J84" s="79">
        <f>+H84*G84</f>
        <v>16.907182207878044</v>
      </c>
      <c r="K84" s="93"/>
      <c r="L84" s="93"/>
      <c r="M84" s="6">
        <f>+IF(H84&lt;15%,1,IF(H84&lt;30%,2,IF(H84&lt;50%,3,4)))</f>
        <v>1</v>
      </c>
    </row>
    <row r="85" spans="1:25" s="96" customFormat="1" ht="15" customHeight="1" outlineLevel="1" x14ac:dyDescent="0.2">
      <c r="A85" s="55" t="s">
        <v>69</v>
      </c>
      <c r="B85" s="79">
        <v>236.65367000000001</v>
      </c>
      <c r="C85" s="79"/>
      <c r="D85" s="79"/>
      <c r="E85" s="79">
        <f>+B85+C85-D85</f>
        <v>236.65367000000001</v>
      </c>
      <c r="F85" s="79">
        <f t="shared" si="15"/>
        <v>236.65367000000001</v>
      </c>
      <c r="G85" s="79">
        <f t="shared" si="15"/>
        <v>236.65367000000001</v>
      </c>
      <c r="H85" s="57">
        <v>2.9487499999999996E-2</v>
      </c>
      <c r="I85" s="79">
        <f>+F85*H85</f>
        <v>6.9783250941249992</v>
      </c>
      <c r="J85" s="79">
        <f>+H85*G85</f>
        <v>6.9783250941249992</v>
      </c>
      <c r="K85" s="94"/>
      <c r="L85" s="94"/>
      <c r="M85" s="6">
        <f>+IF(H85&lt;15%,1,IF(H85&lt;30%,2,IF(H85&lt;50%,3,4)))</f>
        <v>1</v>
      </c>
      <c r="N85" s="95"/>
      <c r="O85" s="95"/>
      <c r="P85" s="95"/>
      <c r="Q85" s="95"/>
      <c r="R85" s="95"/>
      <c r="S85" s="95"/>
      <c r="T85" s="95"/>
      <c r="U85" s="95"/>
      <c r="V85" s="95"/>
      <c r="W85" s="95"/>
      <c r="X85" s="95"/>
      <c r="Y85" s="95"/>
    </row>
    <row r="86" spans="1:25" ht="15" customHeight="1" outlineLevel="1" x14ac:dyDescent="0.25">
      <c r="A86" s="55" t="s">
        <v>70</v>
      </c>
      <c r="B86" s="79">
        <v>75.559161905940442</v>
      </c>
      <c r="C86" s="79"/>
      <c r="D86" s="79"/>
      <c r="E86" s="79">
        <f>+B86+C86-D86</f>
        <v>75.559161905940442</v>
      </c>
      <c r="F86" s="79">
        <f t="shared" si="15"/>
        <v>75.559161905940442</v>
      </c>
      <c r="G86" s="79">
        <f t="shared" si="15"/>
        <v>75.559161905940442</v>
      </c>
      <c r="H86" s="57">
        <v>7.2099999999999997E-2</v>
      </c>
      <c r="I86" s="79">
        <f>+F86*H86</f>
        <v>5.447815573418306</v>
      </c>
      <c r="J86" s="79">
        <f>+H86*G86</f>
        <v>5.447815573418306</v>
      </c>
      <c r="K86" s="94"/>
      <c r="L86" s="94"/>
      <c r="M86" s="6">
        <f>+IF(H86&lt;15%,1,IF(H86&lt;30%,2,IF(H86&lt;50%,3,4)))</f>
        <v>1</v>
      </c>
    </row>
    <row r="87" spans="1:25" s="136" customFormat="1" ht="14.25" customHeight="1" outlineLevel="1" x14ac:dyDescent="0.2">
      <c r="A87" s="55" t="s">
        <v>101</v>
      </c>
      <c r="B87" s="56">
        <v>4.415</v>
      </c>
      <c r="C87" s="56">
        <v>2.5134314999999997E-2</v>
      </c>
      <c r="D87" s="56">
        <v>1.4044421129999998</v>
      </c>
      <c r="E87" s="56">
        <f>B87+C87-D87</f>
        <v>3.0356922019999999</v>
      </c>
      <c r="F87" s="56">
        <f>E87</f>
        <v>3.0356922019999999</v>
      </c>
      <c r="G87" s="56">
        <f>IF(B87&gt;E87,F87,F87*B87/E87)</f>
        <v>3.0356922019999999</v>
      </c>
      <c r="H87" s="71">
        <v>0.17</v>
      </c>
      <c r="I87" s="56">
        <f>F87*H87</f>
        <v>0.51606767434</v>
      </c>
      <c r="J87" s="56">
        <f>G87*H87</f>
        <v>0.51606767434</v>
      </c>
      <c r="K87" s="94"/>
      <c r="L87" s="94"/>
      <c r="M87" s="6">
        <f>+IF(H87&lt;15%,1,IF(H87&lt;30%,2,IF(H87&lt;50%,3,4)))</f>
        <v>2</v>
      </c>
    </row>
    <row r="88" spans="1:25" ht="12.75" customHeight="1" x14ac:dyDescent="0.25">
      <c r="A88" s="80"/>
      <c r="B88" s="21"/>
      <c r="C88" s="21"/>
      <c r="D88" s="21"/>
      <c r="E88" s="21"/>
      <c r="F88" s="22"/>
      <c r="G88" s="22"/>
      <c r="H88" s="23"/>
      <c r="I88" s="24"/>
      <c r="J88" s="25"/>
      <c r="K88" s="26"/>
      <c r="L88" s="26"/>
      <c r="M88" s="6"/>
    </row>
    <row r="89" spans="1:25" ht="36.75" customHeight="1" x14ac:dyDescent="0.25">
      <c r="A89" s="27" t="s">
        <v>72</v>
      </c>
      <c r="B89" s="28"/>
      <c r="C89" s="28"/>
      <c r="D89" s="28"/>
      <c r="E89" s="28"/>
      <c r="F89" s="82"/>
      <c r="G89" s="82"/>
      <c r="H89" s="30"/>
      <c r="I89" s="82">
        <f>+I74+I82+I34+I6</f>
        <v>71.156089023338438</v>
      </c>
      <c r="J89" s="82">
        <f>+J74+J82+J34+J6</f>
        <v>54.862460267207474</v>
      </c>
      <c r="K89" s="31">
        <f>IF(I89=0,0,J89/I89)</f>
        <v>0.77101567863311282</v>
      </c>
      <c r="L89" s="31"/>
      <c r="M89" s="6"/>
    </row>
    <row r="90" spans="1:25" x14ac:dyDescent="0.25">
      <c r="A90" s="97" t="s">
        <v>73</v>
      </c>
      <c r="B90" s="98"/>
      <c r="C90" s="98"/>
      <c r="D90" s="98"/>
      <c r="E90" s="98"/>
      <c r="F90" s="98"/>
      <c r="G90" s="98"/>
      <c r="H90" s="99"/>
      <c r="I90" s="5"/>
      <c r="J90" s="5"/>
      <c r="K90" s="5"/>
      <c r="L90" s="5"/>
      <c r="M90" s="6"/>
    </row>
    <row r="91" spans="1:25" x14ac:dyDescent="0.25">
      <c r="A91" s="100" t="s">
        <v>74</v>
      </c>
      <c r="B91" s="101"/>
      <c r="C91" s="102"/>
      <c r="D91" s="102"/>
      <c r="E91" s="103"/>
      <c r="F91" s="103"/>
      <c r="G91" s="103"/>
      <c r="H91" s="104">
        <v>1</v>
      </c>
      <c r="I91" s="105">
        <f t="shared" ref="I91:J94" si="16">+SUMIF($M$7:$M$89,$H91,I$7:I$89)</f>
        <v>46.129734819034375</v>
      </c>
      <c r="J91" s="105">
        <f t="shared" si="16"/>
        <v>44.798093926257309</v>
      </c>
      <c r="K91" s="106">
        <f>+J91/I91</f>
        <v>0.97113270002524277</v>
      </c>
      <c r="L91" s="5"/>
      <c r="M91" s="6"/>
    </row>
    <row r="92" spans="1:25" x14ac:dyDescent="0.25">
      <c r="A92" s="107" t="s">
        <v>75</v>
      </c>
      <c r="B92" s="108"/>
      <c r="C92" s="109"/>
      <c r="D92" s="109"/>
      <c r="E92" s="110"/>
      <c r="F92" s="110"/>
      <c r="G92" s="110"/>
      <c r="H92" s="111">
        <v>2</v>
      </c>
      <c r="I92" s="112">
        <f t="shared" si="16"/>
        <v>4.3921393478645925</v>
      </c>
      <c r="J92" s="112">
        <f t="shared" si="16"/>
        <v>3.9090786636908947</v>
      </c>
      <c r="K92" s="113">
        <f>+J92/I92</f>
        <v>0.89001699492786901</v>
      </c>
      <c r="L92" s="5"/>
      <c r="M92" s="6"/>
    </row>
    <row r="93" spans="1:25" x14ac:dyDescent="0.25">
      <c r="A93" s="114" t="s">
        <v>76</v>
      </c>
      <c r="B93" s="110"/>
      <c r="C93" s="110"/>
      <c r="D93" s="110"/>
      <c r="E93" s="110"/>
      <c r="F93" s="110"/>
      <c r="G93" s="110"/>
      <c r="H93" s="115">
        <v>3</v>
      </c>
      <c r="I93" s="112">
        <f t="shared" si="16"/>
        <v>18.806722274570816</v>
      </c>
      <c r="J93" s="112">
        <f t="shared" si="16"/>
        <v>4.6416083427329919</v>
      </c>
      <c r="K93" s="113">
        <f>+J93/I93</f>
        <v>0.24680581097372092</v>
      </c>
      <c r="L93" s="5"/>
      <c r="M93" s="6"/>
    </row>
    <row r="94" spans="1:25" x14ac:dyDescent="0.25">
      <c r="A94" s="116" t="s">
        <v>77</v>
      </c>
      <c r="B94" s="117"/>
      <c r="C94" s="117"/>
      <c r="D94" s="117"/>
      <c r="E94" s="117"/>
      <c r="F94" s="117"/>
      <c r="G94" s="117"/>
      <c r="H94" s="118">
        <v>4</v>
      </c>
      <c r="I94" s="119">
        <f t="shared" si="16"/>
        <v>1.8274925818686449</v>
      </c>
      <c r="J94" s="119">
        <f t="shared" si="16"/>
        <v>1.5136793345262691</v>
      </c>
      <c r="K94" s="120">
        <f>+J94/I94</f>
        <v>0.82828206776002566</v>
      </c>
      <c r="L94" s="5"/>
      <c r="M94" s="6"/>
    </row>
    <row r="95" spans="1:25" ht="25.5" customHeight="1" x14ac:dyDescent="0.25">
      <c r="A95" s="303" t="s">
        <v>78</v>
      </c>
      <c r="B95" s="304"/>
      <c r="C95" s="304"/>
      <c r="D95" s="304"/>
      <c r="E95" s="304"/>
      <c r="F95" s="304"/>
      <c r="G95" s="304"/>
      <c r="H95" s="304"/>
      <c r="I95" s="304"/>
      <c r="J95" s="304"/>
      <c r="K95" s="304"/>
      <c r="L95" s="304"/>
      <c r="M95" s="6"/>
    </row>
    <row r="96" spans="1:25" x14ac:dyDescent="0.25">
      <c r="A96" s="5"/>
      <c r="B96" s="98"/>
      <c r="C96" s="98"/>
      <c r="D96" s="98"/>
      <c r="E96" s="98"/>
      <c r="F96" s="98"/>
      <c r="G96" s="98"/>
      <c r="H96" s="99"/>
      <c r="I96" s="5"/>
      <c r="J96" s="5"/>
      <c r="K96" s="5"/>
      <c r="L96" s="5"/>
      <c r="M96" s="6"/>
    </row>
  </sheetData>
  <mergeCells count="4">
    <mergeCell ref="B3:G3"/>
    <mergeCell ref="H3:H4"/>
    <mergeCell ref="I3:J3"/>
    <mergeCell ref="A95:L95"/>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71"/>
  <sheetViews>
    <sheetView workbookViewId="0"/>
  </sheetViews>
  <sheetFormatPr defaultColWidth="9.140625" defaultRowHeight="15" x14ac:dyDescent="0.25"/>
  <cols>
    <col min="1" max="1" width="34.28515625" style="147" customWidth="1"/>
    <col min="2" max="6" width="34.42578125" style="144" customWidth="1"/>
    <col min="7" max="7" width="11.42578125" style="146" customWidth="1"/>
    <col min="8" max="8" width="11.85546875" style="146" customWidth="1"/>
    <col min="9" max="16384" width="9.140625" style="146"/>
  </cols>
  <sheetData>
    <row r="1" spans="1:8" ht="15.75" x14ac:dyDescent="0.25">
      <c r="A1" s="143"/>
      <c r="G1" s="145"/>
      <c r="H1" s="145"/>
    </row>
    <row r="2" spans="1:8" x14ac:dyDescent="0.25">
      <c r="B2" s="148"/>
      <c r="C2" s="148"/>
      <c r="D2" s="148"/>
      <c r="E2" s="148"/>
      <c r="F2" s="148"/>
    </row>
    <row r="3" spans="1:8" ht="44.25" customHeight="1" x14ac:dyDescent="0.25">
      <c r="A3" s="149" t="s">
        <v>109</v>
      </c>
      <c r="B3" s="150"/>
      <c r="C3" s="150"/>
      <c r="D3" s="150"/>
      <c r="E3" s="151"/>
      <c r="F3" s="151"/>
    </row>
    <row r="4" spans="1:8" ht="43.5" customHeight="1" thickBot="1" x14ac:dyDescent="0.3">
      <c r="A4" s="152" t="s">
        <v>110</v>
      </c>
      <c r="B4" s="153" t="s">
        <v>111</v>
      </c>
      <c r="C4" s="154" t="s">
        <v>112</v>
      </c>
      <c r="D4" s="154" t="s">
        <v>113</v>
      </c>
      <c r="E4" s="154" t="s">
        <v>114</v>
      </c>
      <c r="F4" s="154" t="s">
        <v>115</v>
      </c>
    </row>
    <row r="5" spans="1:8" ht="10.5" customHeight="1" x14ac:dyDescent="0.25">
      <c r="A5" s="155"/>
      <c r="B5" s="156"/>
      <c r="C5" s="157"/>
      <c r="D5" s="157"/>
      <c r="E5" s="157"/>
      <c r="F5" s="157"/>
    </row>
    <row r="6" spans="1:8" ht="15" customHeight="1" x14ac:dyDescent="0.25">
      <c r="A6" s="158" t="s">
        <v>116</v>
      </c>
      <c r="B6" s="159"/>
      <c r="C6" s="160"/>
      <c r="D6" s="160"/>
      <c r="E6" s="160"/>
      <c r="F6" s="160"/>
    </row>
    <row r="7" spans="1:8" ht="15" customHeight="1" x14ac:dyDescent="0.25">
      <c r="A7" s="161" t="s">
        <v>117</v>
      </c>
      <c r="B7" s="162"/>
      <c r="C7" s="163"/>
      <c r="D7" s="163"/>
      <c r="E7" s="163"/>
      <c r="F7" s="163"/>
    </row>
    <row r="8" spans="1:8" ht="36.75" customHeight="1" x14ac:dyDescent="0.25">
      <c r="A8" s="164" t="s">
        <v>118</v>
      </c>
      <c r="B8" s="314" t="s">
        <v>119</v>
      </c>
      <c r="C8" s="314" t="s">
        <v>120</v>
      </c>
      <c r="D8" s="314" t="s">
        <v>121</v>
      </c>
      <c r="E8" s="314" t="s">
        <v>122</v>
      </c>
      <c r="F8" s="312" t="s">
        <v>123</v>
      </c>
    </row>
    <row r="9" spans="1:8" ht="36.75" customHeight="1" x14ac:dyDescent="0.25">
      <c r="A9" s="165" t="s">
        <v>124</v>
      </c>
      <c r="B9" s="317"/>
      <c r="C9" s="317"/>
      <c r="D9" s="317"/>
      <c r="E9" s="317"/>
      <c r="F9" s="317"/>
    </row>
    <row r="10" spans="1:8" ht="36.75" customHeight="1" x14ac:dyDescent="0.25">
      <c r="A10" s="165" t="s">
        <v>125</v>
      </c>
      <c r="B10" s="317"/>
      <c r="C10" s="317"/>
      <c r="D10" s="317"/>
      <c r="E10" s="317"/>
      <c r="F10" s="317"/>
    </row>
    <row r="11" spans="1:8" ht="36.75" customHeight="1" x14ac:dyDescent="0.25">
      <c r="A11" s="165" t="s">
        <v>126</v>
      </c>
      <c r="B11" s="317"/>
      <c r="C11" s="317"/>
      <c r="D11" s="317"/>
      <c r="E11" s="317"/>
      <c r="F11" s="317"/>
    </row>
    <row r="12" spans="1:8" ht="36.75" customHeight="1" x14ac:dyDescent="0.25">
      <c r="A12" s="165" t="s">
        <v>127</v>
      </c>
      <c r="B12" s="317"/>
      <c r="C12" s="317"/>
      <c r="D12" s="317"/>
      <c r="E12" s="317"/>
      <c r="F12" s="317"/>
    </row>
    <row r="13" spans="1:8" ht="36.75" customHeight="1" x14ac:dyDescent="0.25">
      <c r="A13" s="165" t="s">
        <v>128</v>
      </c>
      <c r="B13" s="317"/>
      <c r="C13" s="317"/>
      <c r="D13" s="317"/>
      <c r="E13" s="317"/>
      <c r="F13" s="317"/>
    </row>
    <row r="14" spans="1:8" ht="36.75" customHeight="1" x14ac:dyDescent="0.25">
      <c r="A14" s="165" t="s">
        <v>129</v>
      </c>
      <c r="B14" s="317"/>
      <c r="C14" s="317"/>
      <c r="D14" s="317"/>
      <c r="E14" s="317"/>
      <c r="F14" s="317"/>
    </row>
    <row r="15" spans="1:8" ht="36.75" customHeight="1" x14ac:dyDescent="0.25">
      <c r="A15" s="165" t="s">
        <v>130</v>
      </c>
      <c r="B15" s="317"/>
      <c r="C15" s="317"/>
      <c r="D15" s="317"/>
      <c r="E15" s="317"/>
      <c r="F15" s="317"/>
    </row>
    <row r="16" spans="1:8" ht="36.75" customHeight="1" x14ac:dyDescent="0.25">
      <c r="A16" s="166" t="s">
        <v>131</v>
      </c>
      <c r="B16" s="315"/>
      <c r="C16" s="315"/>
      <c r="D16" s="315"/>
      <c r="E16" s="315"/>
      <c r="F16" s="315"/>
    </row>
    <row r="17" spans="1:6" ht="15" customHeight="1" x14ac:dyDescent="0.25">
      <c r="A17" s="161"/>
      <c r="B17" s="167"/>
      <c r="C17" s="168"/>
      <c r="D17" s="168"/>
      <c r="E17" s="167"/>
      <c r="F17" s="167"/>
    </row>
    <row r="18" spans="1:6" ht="15" customHeight="1" x14ac:dyDescent="0.25">
      <c r="A18" s="158" t="s">
        <v>132</v>
      </c>
      <c r="B18" s="316"/>
      <c r="C18" s="319"/>
      <c r="D18" s="320"/>
      <c r="E18" s="316" t="s">
        <v>133</v>
      </c>
      <c r="F18" s="320"/>
    </row>
    <row r="19" spans="1:6" ht="15" customHeight="1" x14ac:dyDescent="0.25">
      <c r="A19" s="161" t="s">
        <v>117</v>
      </c>
      <c r="B19" s="162"/>
      <c r="C19" s="163"/>
      <c r="D19" s="163"/>
      <c r="E19" s="163"/>
      <c r="F19" s="163"/>
    </row>
    <row r="20" spans="1:6" ht="45.75" customHeight="1" x14ac:dyDescent="0.25">
      <c r="A20" s="164" t="s">
        <v>22</v>
      </c>
      <c r="B20" s="310" t="s">
        <v>134</v>
      </c>
      <c r="C20" s="310" t="s">
        <v>135</v>
      </c>
      <c r="D20" s="314" t="s">
        <v>136</v>
      </c>
      <c r="E20" s="169" t="s">
        <v>137</v>
      </c>
      <c r="F20" s="314" t="s">
        <v>114</v>
      </c>
    </row>
    <row r="21" spans="1:6" ht="45.75" customHeight="1" x14ac:dyDescent="0.25">
      <c r="A21" s="165" t="s">
        <v>23</v>
      </c>
      <c r="B21" s="316"/>
      <c r="C21" s="316"/>
      <c r="D21" s="317"/>
      <c r="E21" s="170" t="s">
        <v>138</v>
      </c>
      <c r="F21" s="317"/>
    </row>
    <row r="22" spans="1:6" ht="45.75" customHeight="1" x14ac:dyDescent="0.25">
      <c r="A22" s="166" t="s">
        <v>24</v>
      </c>
      <c r="B22" s="311"/>
      <c r="C22" s="311"/>
      <c r="D22" s="315"/>
      <c r="E22" s="171" t="s">
        <v>138</v>
      </c>
      <c r="F22" s="315"/>
    </row>
    <row r="23" spans="1:6" ht="15" customHeight="1" x14ac:dyDescent="0.25">
      <c r="A23" s="161"/>
      <c r="B23" s="167"/>
      <c r="C23" s="168"/>
      <c r="D23" s="168"/>
      <c r="E23" s="167"/>
      <c r="F23" s="167"/>
    </row>
    <row r="24" spans="1:6" ht="15" customHeight="1" x14ac:dyDescent="0.25">
      <c r="A24" s="158" t="s">
        <v>139</v>
      </c>
      <c r="B24" s="159"/>
      <c r="C24" s="160"/>
      <c r="D24" s="160"/>
      <c r="E24" s="160"/>
      <c r="F24" s="160"/>
    </row>
    <row r="25" spans="1:6" ht="15" customHeight="1" x14ac:dyDescent="0.25">
      <c r="A25" s="161" t="s">
        <v>117</v>
      </c>
      <c r="B25" s="162"/>
      <c r="C25" s="163"/>
      <c r="D25" s="163"/>
      <c r="E25" s="163"/>
      <c r="F25" s="163"/>
    </row>
    <row r="26" spans="1:6" ht="46.5" customHeight="1" x14ac:dyDescent="0.25">
      <c r="A26" s="164" t="s">
        <v>140</v>
      </c>
      <c r="B26" s="312" t="s">
        <v>141</v>
      </c>
      <c r="C26" s="314" t="s">
        <v>142</v>
      </c>
      <c r="D26" s="314" t="s">
        <v>143</v>
      </c>
      <c r="E26" s="312" t="s">
        <v>144</v>
      </c>
      <c r="F26" s="314" t="s">
        <v>114</v>
      </c>
    </row>
    <row r="27" spans="1:6" ht="46.5" customHeight="1" x14ac:dyDescent="0.25">
      <c r="A27" s="165" t="s">
        <v>145</v>
      </c>
      <c r="B27" s="318"/>
      <c r="C27" s="317"/>
      <c r="D27" s="317"/>
      <c r="E27" s="318"/>
      <c r="F27" s="317"/>
    </row>
    <row r="28" spans="1:6" ht="46.5" customHeight="1" x14ac:dyDescent="0.25">
      <c r="A28" s="166" t="s">
        <v>28</v>
      </c>
      <c r="B28" s="318"/>
      <c r="C28" s="317"/>
      <c r="D28" s="317"/>
      <c r="E28" s="318"/>
      <c r="F28" s="315"/>
    </row>
    <row r="29" spans="1:6" ht="46.5" customHeight="1" x14ac:dyDescent="0.25">
      <c r="A29" s="165" t="s">
        <v>29</v>
      </c>
      <c r="B29" s="318"/>
      <c r="C29" s="317"/>
      <c r="D29" s="317"/>
      <c r="E29" s="172"/>
      <c r="F29" s="167"/>
    </row>
    <row r="30" spans="1:6" ht="16.149999999999999" customHeight="1" x14ac:dyDescent="0.25">
      <c r="A30" s="165"/>
      <c r="B30" s="173"/>
      <c r="C30" s="167"/>
      <c r="D30" s="167"/>
      <c r="E30" s="172"/>
      <c r="F30" s="167"/>
    </row>
    <row r="31" spans="1:6" ht="43.5" customHeight="1" x14ac:dyDescent="0.25">
      <c r="A31" s="174" t="s">
        <v>110</v>
      </c>
      <c r="B31" s="175" t="s">
        <v>111</v>
      </c>
      <c r="C31" s="174" t="s">
        <v>112</v>
      </c>
      <c r="D31" s="174" t="s">
        <v>113</v>
      </c>
      <c r="E31" s="174" t="s">
        <v>114</v>
      </c>
      <c r="F31" s="174" t="s">
        <v>115</v>
      </c>
    </row>
    <row r="32" spans="1:6" ht="15" customHeight="1" x14ac:dyDescent="0.25">
      <c r="A32" s="158" t="s">
        <v>146</v>
      </c>
      <c r="B32" s="159"/>
      <c r="C32" s="160"/>
      <c r="D32" s="160"/>
      <c r="E32" s="160"/>
      <c r="F32" s="160"/>
    </row>
    <row r="33" spans="1:9" ht="15" customHeight="1" x14ac:dyDescent="0.25">
      <c r="A33" s="161" t="s">
        <v>117</v>
      </c>
      <c r="B33" s="176"/>
      <c r="C33" s="167"/>
      <c r="D33" s="167"/>
      <c r="E33" s="167"/>
      <c r="F33" s="167"/>
    </row>
    <row r="34" spans="1:9" ht="90" x14ac:dyDescent="0.25">
      <c r="A34" s="166" t="s">
        <v>147</v>
      </c>
      <c r="B34" s="177" t="s">
        <v>148</v>
      </c>
      <c r="C34" s="178" t="s">
        <v>149</v>
      </c>
      <c r="D34" s="179"/>
      <c r="E34" s="180" t="s">
        <v>150</v>
      </c>
      <c r="F34" s="179" t="s">
        <v>151</v>
      </c>
      <c r="H34" s="181"/>
      <c r="I34" s="181"/>
    </row>
    <row r="35" spans="1:9" ht="75" x14ac:dyDescent="0.25">
      <c r="A35" s="182" t="s">
        <v>152</v>
      </c>
      <c r="B35" s="183" t="s">
        <v>153</v>
      </c>
      <c r="C35" s="178" t="s">
        <v>149</v>
      </c>
      <c r="D35" s="184"/>
      <c r="E35" s="180" t="s">
        <v>154</v>
      </c>
      <c r="F35" s="185">
        <v>0</v>
      </c>
      <c r="H35" s="181"/>
      <c r="I35" s="181"/>
    </row>
    <row r="36" spans="1:9" ht="36.75" customHeight="1" x14ac:dyDescent="0.25">
      <c r="A36" s="182" t="s">
        <v>155</v>
      </c>
      <c r="B36" s="183"/>
      <c r="C36" s="178" t="s">
        <v>156</v>
      </c>
      <c r="D36" s="178"/>
      <c r="E36" s="186" t="s">
        <v>157</v>
      </c>
      <c r="F36" s="185">
        <v>0</v>
      </c>
      <c r="H36" s="181"/>
      <c r="I36" s="181"/>
    </row>
    <row r="37" spans="1:9" ht="40.5" customHeight="1" x14ac:dyDescent="0.25">
      <c r="A37" s="182" t="s">
        <v>89</v>
      </c>
      <c r="B37" s="187" t="s">
        <v>151</v>
      </c>
      <c r="C37" s="183"/>
      <c r="D37" s="183"/>
      <c r="E37" s="188" t="s">
        <v>158</v>
      </c>
      <c r="F37" s="189">
        <v>0</v>
      </c>
      <c r="H37" s="181"/>
      <c r="I37" s="181"/>
    </row>
    <row r="38" spans="1:9" ht="75" x14ac:dyDescent="0.25">
      <c r="A38" s="182" t="s">
        <v>159</v>
      </c>
      <c r="B38" s="183" t="s">
        <v>160</v>
      </c>
      <c r="C38" s="178" t="s">
        <v>161</v>
      </c>
      <c r="D38" s="184"/>
      <c r="E38" s="180" t="s">
        <v>162</v>
      </c>
      <c r="F38" s="184" t="s">
        <v>151</v>
      </c>
      <c r="H38" s="181"/>
      <c r="I38" s="181"/>
    </row>
    <row r="39" spans="1:9" ht="45" x14ac:dyDescent="0.25">
      <c r="A39" s="182" t="s">
        <v>163</v>
      </c>
      <c r="B39" s="183" t="s">
        <v>164</v>
      </c>
      <c r="C39" s="184"/>
      <c r="D39" s="184"/>
      <c r="E39" s="180" t="s">
        <v>162</v>
      </c>
      <c r="F39" s="185">
        <v>0</v>
      </c>
      <c r="H39" s="181"/>
      <c r="I39" s="181"/>
    </row>
    <row r="40" spans="1:9" ht="36.75" customHeight="1" x14ac:dyDescent="0.25">
      <c r="A40" s="182" t="s">
        <v>165</v>
      </c>
      <c r="B40" s="183"/>
      <c r="C40" s="178" t="s">
        <v>166</v>
      </c>
      <c r="D40" s="178"/>
      <c r="E40" s="184" t="s">
        <v>167</v>
      </c>
      <c r="F40" s="185">
        <v>0</v>
      </c>
      <c r="H40" s="190"/>
      <c r="I40" s="181"/>
    </row>
    <row r="41" spans="1:9" ht="75" x14ac:dyDescent="0.25">
      <c r="A41" s="182" t="s">
        <v>168</v>
      </c>
      <c r="B41" s="183" t="s">
        <v>169</v>
      </c>
      <c r="C41" s="178" t="s">
        <v>170</v>
      </c>
      <c r="D41" s="184"/>
      <c r="E41" s="180" t="s">
        <v>162</v>
      </c>
      <c r="F41" s="184" t="s">
        <v>151</v>
      </c>
      <c r="H41" s="181"/>
      <c r="I41" s="181"/>
    </row>
    <row r="42" spans="1:9" ht="60" x14ac:dyDescent="0.25">
      <c r="A42" s="182" t="s">
        <v>171</v>
      </c>
      <c r="B42" s="183" t="s">
        <v>172</v>
      </c>
      <c r="C42" s="184"/>
      <c r="D42" s="184"/>
      <c r="E42" s="180" t="s">
        <v>162</v>
      </c>
      <c r="F42" s="185">
        <v>0</v>
      </c>
      <c r="H42" s="181"/>
      <c r="I42" s="181"/>
    </row>
    <row r="43" spans="1:9" ht="36.75" customHeight="1" x14ac:dyDescent="0.25">
      <c r="A43" s="182" t="s">
        <v>173</v>
      </c>
      <c r="B43" s="183"/>
      <c r="C43" s="178" t="s">
        <v>174</v>
      </c>
      <c r="D43" s="178"/>
      <c r="E43" s="184" t="s">
        <v>167</v>
      </c>
      <c r="F43" s="185">
        <v>0</v>
      </c>
      <c r="H43" s="181"/>
      <c r="I43" s="181"/>
    </row>
    <row r="44" spans="1:9" x14ac:dyDescent="0.25">
      <c r="A44" s="182"/>
      <c r="B44" s="178"/>
      <c r="C44" s="183"/>
      <c r="D44" s="183"/>
      <c r="E44" s="183"/>
      <c r="F44" s="191"/>
    </row>
    <row r="45" spans="1:9" ht="44.25" customHeight="1" x14ac:dyDescent="0.25">
      <c r="A45" s="192" t="s">
        <v>175</v>
      </c>
      <c r="B45" s="310" t="s">
        <v>176</v>
      </c>
      <c r="C45" s="184" t="s">
        <v>177</v>
      </c>
      <c r="D45" s="193"/>
      <c r="E45" s="312" t="s">
        <v>178</v>
      </c>
      <c r="F45" s="312" t="s">
        <v>179</v>
      </c>
    </row>
    <row r="46" spans="1:9" ht="44.25" customHeight="1" x14ac:dyDescent="0.25">
      <c r="A46" s="182" t="s">
        <v>48</v>
      </c>
      <c r="B46" s="311"/>
      <c r="C46" s="184" t="s">
        <v>180</v>
      </c>
      <c r="D46" s="194"/>
      <c r="E46" s="313"/>
      <c r="F46" s="313"/>
    </row>
    <row r="47" spans="1:9" ht="49.5" customHeight="1" x14ac:dyDescent="0.25">
      <c r="A47" s="195" t="s">
        <v>181</v>
      </c>
      <c r="B47" s="310" t="s">
        <v>182</v>
      </c>
      <c r="C47" s="184" t="s">
        <v>183</v>
      </c>
      <c r="D47" s="314" t="s">
        <v>182</v>
      </c>
      <c r="E47" s="184" t="s">
        <v>178</v>
      </c>
      <c r="F47" s="184" t="s">
        <v>179</v>
      </c>
    </row>
    <row r="48" spans="1:9" ht="36.75" customHeight="1" x14ac:dyDescent="0.25">
      <c r="A48" s="195" t="s">
        <v>184</v>
      </c>
      <c r="B48" s="311"/>
      <c r="C48" s="184" t="s">
        <v>185</v>
      </c>
      <c r="D48" s="315"/>
      <c r="E48" s="184" t="s">
        <v>178</v>
      </c>
      <c r="F48" s="184" t="s">
        <v>179</v>
      </c>
      <c r="H48" s="181"/>
      <c r="I48" s="181"/>
    </row>
    <row r="49" spans="1:9" ht="45" x14ac:dyDescent="0.25">
      <c r="A49" s="196" t="s">
        <v>186</v>
      </c>
      <c r="B49" s="184" t="s">
        <v>187</v>
      </c>
      <c r="C49" s="184" t="s">
        <v>188</v>
      </c>
      <c r="D49" s="184" t="s">
        <v>143</v>
      </c>
      <c r="E49" s="184" t="s">
        <v>178</v>
      </c>
      <c r="F49" s="184" t="s">
        <v>179</v>
      </c>
    </row>
    <row r="50" spans="1:9" ht="43.5" customHeight="1" x14ac:dyDescent="0.25">
      <c r="A50" s="196" t="s">
        <v>189</v>
      </c>
      <c r="B50" s="178" t="s">
        <v>272</v>
      </c>
      <c r="C50" s="183" t="s">
        <v>190</v>
      </c>
      <c r="D50" s="197" t="s">
        <v>191</v>
      </c>
      <c r="E50" s="184" t="s">
        <v>178</v>
      </c>
      <c r="F50" s="184" t="s">
        <v>179</v>
      </c>
    </row>
    <row r="51" spans="1:9" ht="45" x14ac:dyDescent="0.25">
      <c r="A51" s="182" t="s">
        <v>55</v>
      </c>
      <c r="B51" s="198" t="s">
        <v>192</v>
      </c>
      <c r="C51" s="184" t="s">
        <v>193</v>
      </c>
      <c r="D51" s="197" t="s">
        <v>191</v>
      </c>
      <c r="E51" s="184" t="s">
        <v>178</v>
      </c>
      <c r="F51" s="184" t="s">
        <v>179</v>
      </c>
    </row>
    <row r="52" spans="1:9" ht="42" customHeight="1" x14ac:dyDescent="0.25">
      <c r="A52" s="182" t="s">
        <v>56</v>
      </c>
      <c r="B52" s="185">
        <v>0</v>
      </c>
      <c r="C52" s="199" t="s">
        <v>194</v>
      </c>
      <c r="D52" s="184" t="s">
        <v>195</v>
      </c>
      <c r="E52" s="184" t="s">
        <v>178</v>
      </c>
      <c r="F52" s="185">
        <v>0</v>
      </c>
    </row>
    <row r="53" spans="1:9" ht="39.75" customHeight="1" x14ac:dyDescent="0.25">
      <c r="A53" s="182" t="s">
        <v>57</v>
      </c>
      <c r="B53" s="198" t="s">
        <v>196</v>
      </c>
      <c r="C53" s="184" t="s">
        <v>197</v>
      </c>
      <c r="D53" s="184" t="s">
        <v>143</v>
      </c>
      <c r="E53" s="184" t="s">
        <v>178</v>
      </c>
      <c r="F53" s="184" t="s">
        <v>198</v>
      </c>
    </row>
    <row r="54" spans="1:9" ht="45" customHeight="1" x14ac:dyDescent="0.25">
      <c r="A54" s="182" t="s">
        <v>58</v>
      </c>
      <c r="B54" s="198" t="s">
        <v>268</v>
      </c>
      <c r="C54" s="184" t="s">
        <v>199</v>
      </c>
      <c r="D54" s="184" t="s">
        <v>143</v>
      </c>
      <c r="E54" s="184" t="s">
        <v>200</v>
      </c>
      <c r="F54" s="184" t="s">
        <v>198</v>
      </c>
    </row>
    <row r="55" spans="1:9" ht="15" customHeight="1" x14ac:dyDescent="0.25">
      <c r="A55" s="161"/>
      <c r="B55" s="176"/>
      <c r="C55" s="167"/>
      <c r="D55" s="167"/>
      <c r="E55" s="167"/>
      <c r="F55" s="167"/>
    </row>
    <row r="56" spans="1:9" ht="43.5" customHeight="1" x14ac:dyDescent="0.25">
      <c r="A56" s="200" t="s">
        <v>110</v>
      </c>
      <c r="B56" s="201" t="s">
        <v>111</v>
      </c>
      <c r="C56" s="201" t="s">
        <v>112</v>
      </c>
      <c r="D56" s="201" t="s">
        <v>113</v>
      </c>
      <c r="E56" s="201" t="s">
        <v>114</v>
      </c>
      <c r="F56" s="202" t="s">
        <v>115</v>
      </c>
    </row>
    <row r="57" spans="1:9" ht="15" customHeight="1" x14ac:dyDescent="0.25">
      <c r="A57" s="203" t="s">
        <v>201</v>
      </c>
      <c r="B57" s="204"/>
      <c r="C57" s="204"/>
      <c r="D57" s="204"/>
      <c r="E57" s="205"/>
      <c r="F57" s="206"/>
    </row>
    <row r="58" spans="1:9" ht="15" customHeight="1" x14ac:dyDescent="0.25">
      <c r="A58" s="207" t="s">
        <v>117</v>
      </c>
      <c r="B58" s="204"/>
      <c r="C58" s="204"/>
      <c r="D58" s="204"/>
      <c r="E58" s="204"/>
      <c r="F58" s="208"/>
    </row>
    <row r="59" spans="1:9" ht="41.25" customHeight="1" x14ac:dyDescent="0.25">
      <c r="A59" s="209" t="s">
        <v>62</v>
      </c>
      <c r="B59" s="210" t="s">
        <v>202</v>
      </c>
      <c r="C59" s="211" t="s">
        <v>203</v>
      </c>
      <c r="D59" s="210"/>
      <c r="E59" s="212" t="s">
        <v>178</v>
      </c>
      <c r="F59" s="208"/>
    </row>
    <row r="60" spans="1:9" ht="36.75" customHeight="1" x14ac:dyDescent="0.25">
      <c r="A60" s="209" t="s">
        <v>204</v>
      </c>
      <c r="B60" s="210" t="s">
        <v>205</v>
      </c>
      <c r="C60" s="211" t="s">
        <v>206</v>
      </c>
      <c r="D60" s="210"/>
      <c r="E60" s="213" t="s">
        <v>207</v>
      </c>
      <c r="F60" s="213" t="s">
        <v>207</v>
      </c>
      <c r="H60" s="181"/>
      <c r="I60" s="181"/>
    </row>
    <row r="61" spans="1:9" ht="36.75" customHeight="1" x14ac:dyDescent="0.25">
      <c r="A61" s="209" t="s">
        <v>208</v>
      </c>
      <c r="B61" s="210" t="s">
        <v>209</v>
      </c>
      <c r="C61" s="211" t="s">
        <v>210</v>
      </c>
      <c r="D61" s="210"/>
      <c r="E61" s="213" t="s">
        <v>207</v>
      </c>
      <c r="F61" s="213" t="s">
        <v>207</v>
      </c>
      <c r="H61" s="181"/>
      <c r="I61" s="181"/>
    </row>
    <row r="62" spans="1:9" ht="38.25" customHeight="1" x14ac:dyDescent="0.25">
      <c r="A62" s="209" t="s">
        <v>99</v>
      </c>
      <c r="B62" s="204"/>
      <c r="C62" s="204"/>
      <c r="D62" s="213" t="s">
        <v>211</v>
      </c>
      <c r="E62" s="213" t="s">
        <v>212</v>
      </c>
      <c r="F62" s="214" t="s">
        <v>151</v>
      </c>
    </row>
    <row r="63" spans="1:9" ht="32.25" customHeight="1" x14ac:dyDescent="0.25">
      <c r="A63" s="215" t="s">
        <v>100</v>
      </c>
      <c r="B63" s="216"/>
      <c r="C63" s="216"/>
      <c r="D63" s="216"/>
      <c r="E63" s="217" t="s">
        <v>213</v>
      </c>
      <c r="F63" s="218"/>
    </row>
    <row r="64" spans="1:9" ht="15" customHeight="1" x14ac:dyDescent="0.25">
      <c r="A64" s="219"/>
      <c r="B64" s="220"/>
      <c r="C64" s="221"/>
      <c r="D64" s="221"/>
      <c r="E64" s="221"/>
      <c r="F64" s="222"/>
    </row>
    <row r="65" spans="1:6" ht="43.5" customHeight="1" x14ac:dyDescent="0.25">
      <c r="A65" s="174" t="s">
        <v>110</v>
      </c>
      <c r="B65" s="175" t="s">
        <v>111</v>
      </c>
      <c r="C65" s="174" t="s">
        <v>112</v>
      </c>
      <c r="D65" s="174" t="s">
        <v>113</v>
      </c>
      <c r="E65" s="174" t="s">
        <v>114</v>
      </c>
      <c r="F65" s="174" t="s">
        <v>115</v>
      </c>
    </row>
    <row r="66" spans="1:6" ht="15.75" x14ac:dyDescent="0.25">
      <c r="A66" s="158" t="s">
        <v>214</v>
      </c>
    </row>
    <row r="67" spans="1:6" ht="15" customHeight="1" x14ac:dyDescent="0.25">
      <c r="A67" s="207" t="s">
        <v>117</v>
      </c>
      <c r="B67" s="204"/>
      <c r="C67" s="204"/>
      <c r="D67" s="204"/>
      <c r="E67" s="204"/>
      <c r="F67" s="208"/>
    </row>
    <row r="68" spans="1:6" ht="45" x14ac:dyDescent="0.25">
      <c r="A68" s="223" t="s">
        <v>68</v>
      </c>
      <c r="B68" s="224" t="s">
        <v>215</v>
      </c>
      <c r="C68" s="225"/>
      <c r="D68" s="197" t="s">
        <v>191</v>
      </c>
      <c r="E68" s="184" t="s">
        <v>179</v>
      </c>
      <c r="F68" s="184" t="s">
        <v>179</v>
      </c>
    </row>
    <row r="69" spans="1:6" x14ac:dyDescent="0.25">
      <c r="A69" s="223" t="s">
        <v>216</v>
      </c>
      <c r="B69" s="224" t="s">
        <v>217</v>
      </c>
      <c r="C69" s="225"/>
      <c r="D69" s="197" t="s">
        <v>191</v>
      </c>
      <c r="E69" s="184" t="s">
        <v>179</v>
      </c>
      <c r="F69" s="179" t="s">
        <v>179</v>
      </c>
    </row>
    <row r="70" spans="1:6" x14ac:dyDescent="0.25">
      <c r="A70" s="226" t="s">
        <v>218</v>
      </c>
      <c r="B70" s="227" t="s">
        <v>217</v>
      </c>
      <c r="C70" s="228"/>
      <c r="D70" s="180" t="s">
        <v>191</v>
      </c>
      <c r="E70" s="179" t="s">
        <v>179</v>
      </c>
      <c r="F70" s="184" t="s">
        <v>179</v>
      </c>
    </row>
    <row r="71" spans="1:6" ht="45" x14ac:dyDescent="0.25">
      <c r="A71" s="182" t="s">
        <v>101</v>
      </c>
      <c r="B71" s="229" t="s">
        <v>219</v>
      </c>
      <c r="C71" s="198" t="s">
        <v>220</v>
      </c>
      <c r="D71" s="184" t="s">
        <v>143</v>
      </c>
      <c r="E71" s="184" t="s">
        <v>178</v>
      </c>
      <c r="F71" s="184" t="s">
        <v>179</v>
      </c>
    </row>
  </sheetData>
  <mergeCells count="21">
    <mergeCell ref="B18:D18"/>
    <mergeCell ref="E18:F18"/>
    <mergeCell ref="B8:B16"/>
    <mergeCell ref="C8:C16"/>
    <mergeCell ref="D8:D16"/>
    <mergeCell ref="E8:E16"/>
    <mergeCell ref="F8:F16"/>
    <mergeCell ref="B20:B22"/>
    <mergeCell ref="C20:C22"/>
    <mergeCell ref="D20:D22"/>
    <mergeCell ref="F20:F22"/>
    <mergeCell ref="B26:B29"/>
    <mergeCell ref="C26:C29"/>
    <mergeCell ref="D26:D29"/>
    <mergeCell ref="E26:E28"/>
    <mergeCell ref="F26:F28"/>
    <mergeCell ref="B45:B46"/>
    <mergeCell ref="E45:E46"/>
    <mergeCell ref="F45:F46"/>
    <mergeCell ref="B47:B48"/>
    <mergeCell ref="D47:D4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86"/>
  <sheetViews>
    <sheetView workbookViewId="0"/>
  </sheetViews>
  <sheetFormatPr defaultRowHeight="15" x14ac:dyDescent="0.25"/>
  <cols>
    <col min="1" max="1" width="42.85546875" style="237" customWidth="1"/>
    <col min="2" max="2" width="23.28515625" style="247" customWidth="1"/>
    <col min="3" max="16384" width="9.140625" style="237"/>
  </cols>
  <sheetData>
    <row r="1" spans="1:2" ht="23.25" x14ac:dyDescent="0.25">
      <c r="B1" s="238" t="s">
        <v>266</v>
      </c>
    </row>
    <row r="2" spans="1:2" ht="23.25" x14ac:dyDescent="0.25">
      <c r="A2" s="239" t="s">
        <v>18</v>
      </c>
      <c r="B2" s="240">
        <v>44876</v>
      </c>
    </row>
    <row r="3" spans="1:2" x14ac:dyDescent="0.25">
      <c r="A3" s="20"/>
      <c r="B3" s="241"/>
    </row>
    <row r="4" spans="1:2" x14ac:dyDescent="0.25">
      <c r="A4" s="20"/>
      <c r="B4" s="241"/>
    </row>
    <row r="5" spans="1:2" ht="18" x14ac:dyDescent="0.25">
      <c r="A5" s="242" t="s">
        <v>259</v>
      </c>
      <c r="B5" s="243"/>
    </row>
    <row r="6" spans="1:2" x14ac:dyDescent="0.25">
      <c r="A6" s="20"/>
      <c r="B6" s="241"/>
    </row>
    <row r="7" spans="1:2" x14ac:dyDescent="0.25">
      <c r="A7" s="244" t="s">
        <v>244</v>
      </c>
      <c r="B7" s="245" t="s">
        <v>267</v>
      </c>
    </row>
    <row r="8" spans="1:2" x14ac:dyDescent="0.25">
      <c r="A8" s="244" t="s">
        <v>125</v>
      </c>
      <c r="B8" s="245" t="s">
        <v>267</v>
      </c>
    </row>
    <row r="9" spans="1:2" x14ac:dyDescent="0.25">
      <c r="A9" s="244" t="s">
        <v>245</v>
      </c>
      <c r="B9" s="245" t="s">
        <v>267</v>
      </c>
    </row>
    <row r="10" spans="1:2" x14ac:dyDescent="0.25">
      <c r="A10" s="244" t="s">
        <v>246</v>
      </c>
      <c r="B10" s="245" t="s">
        <v>267</v>
      </c>
    </row>
    <row r="11" spans="1:2" x14ac:dyDescent="0.25">
      <c r="A11" s="244" t="s">
        <v>127</v>
      </c>
      <c r="B11" s="245" t="s">
        <v>267</v>
      </c>
    </row>
    <row r="12" spans="1:2" x14ac:dyDescent="0.25">
      <c r="A12" s="244" t="s">
        <v>128</v>
      </c>
      <c r="B12" s="245" t="s">
        <v>267</v>
      </c>
    </row>
    <row r="13" spans="1:2" x14ac:dyDescent="0.25">
      <c r="A13" s="244" t="s">
        <v>129</v>
      </c>
      <c r="B13" s="245" t="s">
        <v>267</v>
      </c>
    </row>
    <row r="14" spans="1:2" x14ac:dyDescent="0.25">
      <c r="A14" s="244" t="s">
        <v>130</v>
      </c>
      <c r="B14" s="245" t="s">
        <v>267</v>
      </c>
    </row>
    <row r="15" spans="1:2" x14ac:dyDescent="0.25">
      <c r="A15" s="244" t="s">
        <v>247</v>
      </c>
      <c r="B15" s="245" t="s">
        <v>267</v>
      </c>
    </row>
    <row r="16" spans="1:2" x14ac:dyDescent="0.25">
      <c r="A16" s="20"/>
      <c r="B16" s="241"/>
    </row>
    <row r="17" spans="1:2" ht="18" x14ac:dyDescent="0.25">
      <c r="A17" s="242" t="s">
        <v>260</v>
      </c>
      <c r="B17" s="243"/>
    </row>
    <row r="18" spans="1:2" x14ac:dyDescent="0.25">
      <c r="A18" s="20" t="s">
        <v>21</v>
      </c>
      <c r="B18" s="241"/>
    </row>
    <row r="19" spans="1:2" x14ac:dyDescent="0.25">
      <c r="A19" s="244" t="s">
        <v>22</v>
      </c>
      <c r="B19" s="245" t="s">
        <v>267</v>
      </c>
    </row>
    <row r="20" spans="1:2" x14ac:dyDescent="0.25">
      <c r="A20" s="244" t="s">
        <v>23</v>
      </c>
      <c r="B20" s="245" t="s">
        <v>267</v>
      </c>
    </row>
    <row r="21" spans="1:2" x14ac:dyDescent="0.25">
      <c r="A21" s="244" t="s">
        <v>24</v>
      </c>
      <c r="B21" s="245" t="s">
        <v>267</v>
      </c>
    </row>
    <row r="22" spans="1:2" x14ac:dyDescent="0.25">
      <c r="A22" s="20"/>
      <c r="B22" s="241"/>
    </row>
    <row r="23" spans="1:2" ht="18" x14ac:dyDescent="0.25">
      <c r="A23" s="242" t="s">
        <v>261</v>
      </c>
      <c r="B23" s="243"/>
    </row>
    <row r="24" spans="1:2" x14ac:dyDescent="0.25">
      <c r="A24" s="20"/>
      <c r="B24" s="241"/>
    </row>
    <row r="25" spans="1:2" x14ac:dyDescent="0.25">
      <c r="A25" s="244" t="s">
        <v>26</v>
      </c>
      <c r="B25" s="245" t="s">
        <v>267</v>
      </c>
    </row>
    <row r="26" spans="1:2" x14ac:dyDescent="0.25">
      <c r="A26" s="244" t="s">
        <v>27</v>
      </c>
      <c r="B26" s="245" t="s">
        <v>267</v>
      </c>
    </row>
    <row r="27" spans="1:2" x14ac:dyDescent="0.25">
      <c r="A27" s="244" t="s">
        <v>28</v>
      </c>
      <c r="B27" s="245" t="s">
        <v>267</v>
      </c>
    </row>
    <row r="28" spans="1:2" x14ac:dyDescent="0.25">
      <c r="A28" s="244" t="s">
        <v>29</v>
      </c>
      <c r="B28" s="245" t="s">
        <v>267</v>
      </c>
    </row>
    <row r="29" spans="1:2" x14ac:dyDescent="0.25">
      <c r="A29" s="20"/>
      <c r="B29" s="241"/>
    </row>
    <row r="30" spans="1:2" ht="23.25" x14ac:dyDescent="0.25">
      <c r="A30" s="239" t="s">
        <v>30</v>
      </c>
      <c r="B30" s="238"/>
    </row>
    <row r="31" spans="1:2" x14ac:dyDescent="0.25">
      <c r="A31" s="20"/>
      <c r="B31" s="241"/>
    </row>
    <row r="32" spans="1:2" ht="18" x14ac:dyDescent="0.25">
      <c r="A32" s="242" t="s">
        <v>31</v>
      </c>
      <c r="B32" s="243"/>
    </row>
    <row r="33" spans="1:2" x14ac:dyDescent="0.25">
      <c r="A33" s="20"/>
      <c r="B33" s="241"/>
    </row>
    <row r="34" spans="1:2" ht="18" x14ac:dyDescent="0.25">
      <c r="A34" s="242" t="s">
        <v>262</v>
      </c>
      <c r="B34" s="243"/>
    </row>
    <row r="35" spans="1:2" x14ac:dyDescent="0.25">
      <c r="A35" s="20"/>
      <c r="B35" s="241"/>
    </row>
    <row r="36" spans="1:2" x14ac:dyDescent="0.25">
      <c r="A36" s="244" t="s">
        <v>33</v>
      </c>
      <c r="B36" s="245" t="s">
        <v>267</v>
      </c>
    </row>
    <row r="37" spans="1:2" x14ac:dyDescent="0.25">
      <c r="A37" s="244" t="s">
        <v>34</v>
      </c>
      <c r="B37" s="245" t="s">
        <v>267</v>
      </c>
    </row>
    <row r="38" spans="1:2" x14ac:dyDescent="0.25">
      <c r="A38" s="244" t="s">
        <v>35</v>
      </c>
      <c r="B38" s="245" t="s">
        <v>267</v>
      </c>
    </row>
    <row r="39" spans="1:2" ht="57" x14ac:dyDescent="0.25">
      <c r="A39" s="244" t="s">
        <v>36</v>
      </c>
      <c r="B39" s="245" t="s">
        <v>271</v>
      </c>
    </row>
    <row r="40" spans="1:2" x14ac:dyDescent="0.25">
      <c r="A40" s="20"/>
      <c r="B40" s="241"/>
    </row>
    <row r="41" spans="1:2" ht="18" x14ac:dyDescent="0.25">
      <c r="A41" s="242" t="s">
        <v>263</v>
      </c>
      <c r="B41" s="243"/>
    </row>
    <row r="42" spans="1:2" x14ac:dyDescent="0.25">
      <c r="A42" s="20"/>
      <c r="B42" s="241"/>
    </row>
    <row r="43" spans="1:2" x14ac:dyDescent="0.25">
      <c r="A43" s="244" t="s">
        <v>38</v>
      </c>
      <c r="B43" s="245" t="s">
        <v>267</v>
      </c>
    </row>
    <row r="44" spans="1:2" x14ac:dyDescent="0.25">
      <c r="A44" s="244" t="s">
        <v>39</v>
      </c>
      <c r="B44" s="245" t="s">
        <v>267</v>
      </c>
    </row>
    <row r="45" spans="1:2" x14ac:dyDescent="0.25">
      <c r="A45" s="244" t="s">
        <v>40</v>
      </c>
      <c r="B45" s="245" t="s">
        <v>267</v>
      </c>
    </row>
    <row r="46" spans="1:2" x14ac:dyDescent="0.25">
      <c r="A46" s="20"/>
      <c r="B46" s="241"/>
    </row>
    <row r="47" spans="1:2" ht="18" x14ac:dyDescent="0.25">
      <c r="A47" s="242" t="s">
        <v>264</v>
      </c>
      <c r="B47" s="243"/>
    </row>
    <row r="48" spans="1:2" x14ac:dyDescent="0.25">
      <c r="A48" s="20"/>
      <c r="B48" s="241"/>
    </row>
    <row r="49" spans="1:2" x14ac:dyDescent="0.25">
      <c r="A49" s="244" t="s">
        <v>42</v>
      </c>
      <c r="B49" s="245" t="s">
        <v>267</v>
      </c>
    </row>
    <row r="50" spans="1:2" x14ac:dyDescent="0.25">
      <c r="A50" s="244" t="s">
        <v>43</v>
      </c>
      <c r="B50" s="245" t="s">
        <v>267</v>
      </c>
    </row>
    <row r="51" spans="1:2" x14ac:dyDescent="0.25">
      <c r="A51" s="244" t="s">
        <v>44</v>
      </c>
      <c r="B51" s="245" t="s">
        <v>267</v>
      </c>
    </row>
    <row r="52" spans="1:2" x14ac:dyDescent="0.25">
      <c r="A52" s="20"/>
      <c r="B52" s="241"/>
    </row>
    <row r="53" spans="1:2" ht="18" x14ac:dyDescent="0.25">
      <c r="A53" s="242" t="s">
        <v>265</v>
      </c>
      <c r="B53" s="243"/>
    </row>
    <row r="54" spans="1:2" x14ac:dyDescent="0.25">
      <c r="A54" s="20"/>
      <c r="B54" s="241"/>
    </row>
    <row r="55" spans="1:2" x14ac:dyDescent="0.25">
      <c r="A55" s="244" t="s">
        <v>46</v>
      </c>
      <c r="B55" s="245" t="s">
        <v>267</v>
      </c>
    </row>
    <row r="56" spans="1:2" x14ac:dyDescent="0.25">
      <c r="A56" s="244" t="s">
        <v>47</v>
      </c>
      <c r="B56" s="245" t="s">
        <v>267</v>
      </c>
    </row>
    <row r="57" spans="1:2" x14ac:dyDescent="0.25">
      <c r="A57" s="244" t="s">
        <v>48</v>
      </c>
      <c r="B57" s="245" t="s">
        <v>267</v>
      </c>
    </row>
    <row r="58" spans="1:2" x14ac:dyDescent="0.25">
      <c r="A58" s="20"/>
      <c r="B58" s="241"/>
    </row>
    <row r="59" spans="1:2" ht="18" x14ac:dyDescent="0.25">
      <c r="A59" s="242" t="s">
        <v>49</v>
      </c>
      <c r="B59" s="243"/>
    </row>
    <row r="60" spans="1:2" x14ac:dyDescent="0.25">
      <c r="A60" s="20"/>
      <c r="B60" s="241"/>
    </row>
    <row r="61" spans="1:2" ht="57" x14ac:dyDescent="0.25">
      <c r="A61" s="244" t="s">
        <v>50</v>
      </c>
      <c r="B61" s="245" t="s">
        <v>313</v>
      </c>
    </row>
    <row r="62" spans="1:2" ht="57" x14ac:dyDescent="0.25">
      <c r="A62" s="244" t="s">
        <v>51</v>
      </c>
      <c r="B62" s="245" t="s">
        <v>313</v>
      </c>
    </row>
    <row r="63" spans="1:2" x14ac:dyDescent="0.25">
      <c r="A63" s="244" t="s">
        <v>52</v>
      </c>
      <c r="B63" s="245" t="s">
        <v>267</v>
      </c>
    </row>
    <row r="64" spans="1:2" x14ac:dyDescent="0.25">
      <c r="A64" s="244" t="s">
        <v>54</v>
      </c>
      <c r="B64" s="245" t="s">
        <v>267</v>
      </c>
    </row>
    <row r="65" spans="1:2" x14ac:dyDescent="0.25">
      <c r="A65" s="244" t="s">
        <v>55</v>
      </c>
      <c r="B65" s="245" t="s">
        <v>267</v>
      </c>
    </row>
    <row r="66" spans="1:2" x14ac:dyDescent="0.25">
      <c r="A66" s="244" t="s">
        <v>56</v>
      </c>
      <c r="B66" s="245" t="s">
        <v>267</v>
      </c>
    </row>
    <row r="67" spans="1:2" ht="28.5" x14ac:dyDescent="0.25">
      <c r="A67" s="244" t="s">
        <v>57</v>
      </c>
      <c r="B67" s="245" t="s">
        <v>312</v>
      </c>
    </row>
    <row r="68" spans="1:2" ht="28.5" x14ac:dyDescent="0.25">
      <c r="A68" s="244" t="s">
        <v>58</v>
      </c>
      <c r="B68" s="245" t="s">
        <v>312</v>
      </c>
    </row>
    <row r="69" spans="1:2" x14ac:dyDescent="0.25">
      <c r="A69" s="20"/>
      <c r="B69" s="241"/>
    </row>
    <row r="70" spans="1:2" ht="23.25" x14ac:dyDescent="0.25">
      <c r="A70" s="239" t="s">
        <v>60</v>
      </c>
      <c r="B70" s="238"/>
    </row>
    <row r="71" spans="1:2" x14ac:dyDescent="0.25">
      <c r="A71" s="20" t="s">
        <v>61</v>
      </c>
      <c r="B71" s="241"/>
    </row>
    <row r="72" spans="1:2" x14ac:dyDescent="0.25">
      <c r="A72" s="244" t="s">
        <v>62</v>
      </c>
      <c r="B72" s="245"/>
    </row>
    <row r="73" spans="1:2" ht="71.25" x14ac:dyDescent="0.25">
      <c r="A73" s="244" t="s">
        <v>63</v>
      </c>
      <c r="B73" s="245" t="s">
        <v>273</v>
      </c>
    </row>
    <row r="74" spans="1:2" ht="71.25" x14ac:dyDescent="0.25">
      <c r="A74" s="244" t="s">
        <v>64</v>
      </c>
      <c r="B74" s="245" t="s">
        <v>273</v>
      </c>
    </row>
    <row r="75" spans="1:2" ht="42.75" x14ac:dyDescent="0.25">
      <c r="A75" s="244" t="s">
        <v>65</v>
      </c>
      <c r="B75" s="245" t="s">
        <v>274</v>
      </c>
    </row>
    <row r="76" spans="1:2" x14ac:dyDescent="0.25">
      <c r="A76" s="244" t="s">
        <v>66</v>
      </c>
      <c r="B76" s="245" t="s">
        <v>275</v>
      </c>
    </row>
    <row r="77" spans="1:2" x14ac:dyDescent="0.25">
      <c r="A77" s="80"/>
      <c r="B77" s="246"/>
    </row>
    <row r="78" spans="1:2" ht="23.25" x14ac:dyDescent="0.25">
      <c r="A78" s="239" t="s">
        <v>67</v>
      </c>
      <c r="B78" s="238"/>
    </row>
    <row r="79" spans="1:2" x14ac:dyDescent="0.25">
      <c r="A79" s="83"/>
      <c r="B79" s="241"/>
    </row>
    <row r="80" spans="1:2" ht="28.5" x14ac:dyDescent="0.25">
      <c r="A80" s="244" t="s">
        <v>68</v>
      </c>
      <c r="B80" s="245" t="s">
        <v>323</v>
      </c>
    </row>
    <row r="81" spans="1:2" ht="28.5" x14ac:dyDescent="0.25">
      <c r="A81" s="244" t="s">
        <v>69</v>
      </c>
      <c r="B81" s="245" t="s">
        <v>323</v>
      </c>
    </row>
    <row r="82" spans="1:2" ht="28.5" x14ac:dyDescent="0.25">
      <c r="A82" s="244" t="s">
        <v>70</v>
      </c>
      <c r="B82" s="245" t="s">
        <v>323</v>
      </c>
    </row>
    <row r="83" spans="1:2" x14ac:dyDescent="0.25">
      <c r="A83" s="244" t="s">
        <v>71</v>
      </c>
      <c r="B83" s="245" t="s">
        <v>267</v>
      </c>
    </row>
    <row r="84" spans="1:2" x14ac:dyDescent="0.25">
      <c r="B84" s="237"/>
    </row>
    <row r="85" spans="1:2" x14ac:dyDescent="0.25">
      <c r="B85" s="237"/>
    </row>
    <row r="86" spans="1:2" x14ac:dyDescent="0.25">
      <c r="B86" s="237"/>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A53"/>
  <sheetViews>
    <sheetView workbookViewId="0"/>
  </sheetViews>
  <sheetFormatPr defaultRowHeight="15" x14ac:dyDescent="0.25"/>
  <cols>
    <col min="1" max="1" width="29.5703125" customWidth="1"/>
    <col min="17" max="17" width="8.7109375" style="233"/>
    <col min="23" max="24" width="9.140625" customWidth="1"/>
  </cols>
  <sheetData>
    <row r="2" spans="1:27" ht="30" x14ac:dyDescent="0.25">
      <c r="A2" s="269" t="s">
        <v>221</v>
      </c>
      <c r="B2" s="253" t="s">
        <v>108</v>
      </c>
      <c r="C2" s="253" t="s">
        <v>107</v>
      </c>
      <c r="D2" s="253" t="s">
        <v>106</v>
      </c>
      <c r="E2" s="253" t="s">
        <v>105</v>
      </c>
      <c r="F2" s="253" t="s">
        <v>104</v>
      </c>
      <c r="G2" s="253" t="s">
        <v>103</v>
      </c>
      <c r="H2" s="253" t="s">
        <v>102</v>
      </c>
      <c r="I2" s="253" t="s">
        <v>82</v>
      </c>
      <c r="J2" s="270" t="s">
        <v>81</v>
      </c>
      <c r="K2" s="270" t="s">
        <v>79</v>
      </c>
      <c r="L2" s="270" t="s">
        <v>1</v>
      </c>
      <c r="M2" s="270" t="s">
        <v>270</v>
      </c>
      <c r="O2" s="269" t="s">
        <v>221</v>
      </c>
      <c r="P2" s="253" t="str">
        <f t="shared" ref="P2:AA2" si="0">B2</f>
        <v>2011/12</v>
      </c>
      <c r="Q2" s="253" t="str">
        <f t="shared" si="0"/>
        <v>2012/13</v>
      </c>
      <c r="R2" s="253" t="str">
        <f t="shared" si="0"/>
        <v>2013/14</v>
      </c>
      <c r="S2" s="253" t="str">
        <f t="shared" si="0"/>
        <v>2014/15</v>
      </c>
      <c r="T2" s="253" t="str">
        <f t="shared" si="0"/>
        <v>2015/16</v>
      </c>
      <c r="U2" s="253" t="str">
        <f t="shared" si="0"/>
        <v>2016/17</v>
      </c>
      <c r="V2" s="253" t="str">
        <f t="shared" si="0"/>
        <v>2017/18</v>
      </c>
      <c r="W2" s="253" t="str">
        <f t="shared" si="0"/>
        <v>2018/19</v>
      </c>
      <c r="X2" s="253" t="str">
        <f t="shared" si="0"/>
        <v>2019/20</v>
      </c>
      <c r="Y2" s="253" t="str">
        <f t="shared" si="0"/>
        <v>2020/21</v>
      </c>
      <c r="Z2" s="253" t="str">
        <f t="shared" si="0"/>
        <v>2021/22</v>
      </c>
      <c r="AA2" s="253" t="str">
        <f t="shared" si="0"/>
        <v>2022/23</v>
      </c>
    </row>
    <row r="3" spans="1:27" x14ac:dyDescent="0.25">
      <c r="A3" s="271" t="s">
        <v>222</v>
      </c>
      <c r="B3" s="272">
        <v>26.271819999999998</v>
      </c>
      <c r="C3" s="272">
        <v>24.848650000000003</v>
      </c>
      <c r="D3" s="272">
        <v>29.335569999999997</v>
      </c>
      <c r="E3" s="272">
        <v>32.962119999999999</v>
      </c>
      <c r="F3" s="272">
        <v>29.52346</v>
      </c>
      <c r="G3" s="272">
        <v>29.53782</v>
      </c>
      <c r="H3" s="272">
        <v>32.927679999999995</v>
      </c>
      <c r="I3" s="272">
        <v>30.807860000000005</v>
      </c>
      <c r="J3" s="272">
        <v>28.365299999999998</v>
      </c>
      <c r="K3" s="272">
        <v>28.311070000000001</v>
      </c>
      <c r="L3" s="272">
        <v>30.051360000000003</v>
      </c>
      <c r="M3" s="273">
        <v>32.159658191927768</v>
      </c>
      <c r="O3" s="271" t="s">
        <v>222</v>
      </c>
      <c r="P3" s="272">
        <f t="shared" ref="P3:W3" si="1">+SUM(P4:P6)</f>
        <v>26.271819999999998</v>
      </c>
      <c r="Q3" s="272">
        <f t="shared" si="1"/>
        <v>24.848650000000003</v>
      </c>
      <c r="R3" s="272">
        <f t="shared" si="1"/>
        <v>29.335569999999997</v>
      </c>
      <c r="S3" s="272">
        <f t="shared" si="1"/>
        <v>32.962119999999999</v>
      </c>
      <c r="T3" s="272">
        <f t="shared" si="1"/>
        <v>29.52346</v>
      </c>
      <c r="U3" s="272">
        <f t="shared" si="1"/>
        <v>29.53782</v>
      </c>
      <c r="V3" s="272">
        <f t="shared" si="1"/>
        <v>32.927679999999995</v>
      </c>
      <c r="W3" s="272">
        <f t="shared" si="1"/>
        <v>30.807860000000005</v>
      </c>
      <c r="X3" s="272">
        <f t="shared" ref="X3:Y3" si="2">+SUM(X4:X6)</f>
        <v>28.365299999999998</v>
      </c>
      <c r="Y3" s="272">
        <f t="shared" si="2"/>
        <v>28.311070000000001</v>
      </c>
      <c r="Z3" s="272">
        <f t="shared" ref="Z3:AA3" si="3">+SUM(Z4:Z6)</f>
        <v>30.051360000000003</v>
      </c>
      <c r="AA3" s="272">
        <f t="shared" si="3"/>
        <v>32.159658191927768</v>
      </c>
    </row>
    <row r="4" spans="1:27" x14ac:dyDescent="0.25">
      <c r="A4" s="274" t="s">
        <v>223</v>
      </c>
      <c r="B4" s="275">
        <v>16.472999999999999</v>
      </c>
      <c r="C4" s="275">
        <v>16.69096</v>
      </c>
      <c r="D4" s="275">
        <v>18.852979999999999</v>
      </c>
      <c r="E4" s="275">
        <v>21.82133</v>
      </c>
      <c r="F4" s="275">
        <v>19.299510000000001</v>
      </c>
      <c r="G4" s="275">
        <v>18.33193</v>
      </c>
      <c r="H4" s="275">
        <v>19.852979999999995</v>
      </c>
      <c r="I4" s="275">
        <v>18.002690000000001</v>
      </c>
      <c r="J4" s="275">
        <v>15.3796</v>
      </c>
      <c r="K4" s="275">
        <v>16.69388</v>
      </c>
      <c r="L4" s="275">
        <v>17.052240000000001</v>
      </c>
      <c r="M4" s="276">
        <v>19.561420000000002</v>
      </c>
      <c r="O4" s="274" t="s">
        <v>22</v>
      </c>
      <c r="P4" s="275">
        <f t="shared" ref="P4:AA4" si="4">+B5</f>
        <v>1.2401000000000004</v>
      </c>
      <c r="Q4" s="275">
        <f t="shared" si="4"/>
        <v>0.95914999999999995</v>
      </c>
      <c r="R4" s="275">
        <f t="shared" si="4"/>
        <v>1.2156800000000001</v>
      </c>
      <c r="S4" s="275">
        <f t="shared" si="4"/>
        <v>1.84148</v>
      </c>
      <c r="T4" s="275">
        <f t="shared" si="4"/>
        <v>2.3410100000000003</v>
      </c>
      <c r="U4" s="275">
        <f t="shared" si="4"/>
        <v>2.4772999999999996</v>
      </c>
      <c r="V4" s="275">
        <f t="shared" si="4"/>
        <v>2.6717900000000001</v>
      </c>
      <c r="W4" s="275">
        <f t="shared" si="4"/>
        <v>2.8326600000000002</v>
      </c>
      <c r="X4" s="275">
        <f t="shared" si="4"/>
        <v>2.7415400000000001</v>
      </c>
      <c r="Y4" s="275">
        <f t="shared" si="4"/>
        <v>2.61707</v>
      </c>
      <c r="Z4" s="275">
        <f t="shared" si="4"/>
        <v>2.64941</v>
      </c>
      <c r="AA4" s="275">
        <f t="shared" si="4"/>
        <v>2.5735571919277644</v>
      </c>
    </row>
    <row r="5" spans="1:27" x14ac:dyDescent="0.25">
      <c r="A5" s="274" t="s">
        <v>224</v>
      </c>
      <c r="B5" s="275">
        <v>1.2401000000000004</v>
      </c>
      <c r="C5" s="275">
        <v>0.95914999999999995</v>
      </c>
      <c r="D5" s="275">
        <v>1.2156800000000001</v>
      </c>
      <c r="E5" s="275">
        <v>1.84148</v>
      </c>
      <c r="F5" s="275">
        <v>2.3410100000000003</v>
      </c>
      <c r="G5" s="275">
        <v>2.4772999999999996</v>
      </c>
      <c r="H5" s="275">
        <v>2.6717900000000001</v>
      </c>
      <c r="I5" s="275">
        <v>2.8326600000000002</v>
      </c>
      <c r="J5" s="275">
        <v>2.7415400000000001</v>
      </c>
      <c r="K5" s="275">
        <v>2.61707</v>
      </c>
      <c r="L5" s="275">
        <v>2.64941</v>
      </c>
      <c r="M5" s="276">
        <v>2.5735571919277644</v>
      </c>
      <c r="O5" s="274" t="s">
        <v>23</v>
      </c>
      <c r="P5" s="275">
        <f t="shared" ref="P5:AA5" si="5">+B4</f>
        <v>16.472999999999999</v>
      </c>
      <c r="Q5" s="275">
        <f t="shared" si="5"/>
        <v>16.69096</v>
      </c>
      <c r="R5" s="275">
        <f t="shared" si="5"/>
        <v>18.852979999999999</v>
      </c>
      <c r="S5" s="275">
        <f t="shared" si="5"/>
        <v>21.82133</v>
      </c>
      <c r="T5" s="275">
        <f t="shared" si="5"/>
        <v>19.299510000000001</v>
      </c>
      <c r="U5" s="275">
        <f t="shared" si="5"/>
        <v>18.33193</v>
      </c>
      <c r="V5" s="275">
        <f t="shared" si="5"/>
        <v>19.852979999999995</v>
      </c>
      <c r="W5" s="275">
        <f t="shared" si="5"/>
        <v>18.002690000000001</v>
      </c>
      <c r="X5" s="275">
        <f t="shared" si="5"/>
        <v>15.3796</v>
      </c>
      <c r="Y5" s="275">
        <f t="shared" si="5"/>
        <v>16.69388</v>
      </c>
      <c r="Z5" s="275">
        <f t="shared" si="5"/>
        <v>17.052240000000001</v>
      </c>
      <c r="AA5" s="275">
        <f t="shared" si="5"/>
        <v>19.561420000000002</v>
      </c>
    </row>
    <row r="6" spans="1:27" x14ac:dyDescent="0.25">
      <c r="A6" s="277" t="s">
        <v>225</v>
      </c>
      <c r="B6" s="278">
        <v>8.5587199999999992</v>
      </c>
      <c r="C6" s="278">
        <v>7.1985400000000004</v>
      </c>
      <c r="D6" s="278">
        <v>9.2669099999999993</v>
      </c>
      <c r="E6" s="278">
        <v>9.299310000000002</v>
      </c>
      <c r="F6" s="278">
        <v>7.8829399999999996</v>
      </c>
      <c r="G6" s="278">
        <v>8.7285900000000005</v>
      </c>
      <c r="H6" s="278">
        <v>10.40291</v>
      </c>
      <c r="I6" s="278">
        <v>9.9725100000000015</v>
      </c>
      <c r="J6" s="278">
        <v>10.244159999999999</v>
      </c>
      <c r="K6" s="278">
        <v>9.0001200000000008</v>
      </c>
      <c r="L6" s="278">
        <v>10.34971</v>
      </c>
      <c r="M6" s="279">
        <v>10.024680999999999</v>
      </c>
      <c r="O6" s="277" t="s">
        <v>24</v>
      </c>
      <c r="P6" s="278">
        <f t="shared" ref="P6:AA6" si="6">+B6</f>
        <v>8.5587199999999992</v>
      </c>
      <c r="Q6" s="278">
        <f t="shared" si="6"/>
        <v>7.1985400000000004</v>
      </c>
      <c r="R6" s="278">
        <f t="shared" si="6"/>
        <v>9.2669099999999993</v>
      </c>
      <c r="S6" s="278">
        <f t="shared" si="6"/>
        <v>9.299310000000002</v>
      </c>
      <c r="T6" s="278">
        <f t="shared" si="6"/>
        <v>7.8829399999999996</v>
      </c>
      <c r="U6" s="278">
        <f t="shared" si="6"/>
        <v>8.7285900000000005</v>
      </c>
      <c r="V6" s="278">
        <f t="shared" si="6"/>
        <v>10.40291</v>
      </c>
      <c r="W6" s="278">
        <f t="shared" si="6"/>
        <v>9.9725100000000015</v>
      </c>
      <c r="X6" s="278">
        <f t="shared" si="6"/>
        <v>10.244159999999999</v>
      </c>
      <c r="Y6" s="278">
        <f t="shared" si="6"/>
        <v>9.0001200000000008</v>
      </c>
      <c r="Z6" s="278">
        <f t="shared" si="6"/>
        <v>10.34971</v>
      </c>
      <c r="AA6" s="278">
        <f t="shared" si="6"/>
        <v>10.024680999999999</v>
      </c>
    </row>
    <row r="7" spans="1:27" x14ac:dyDescent="0.25">
      <c r="A7" s="280" t="s">
        <v>226</v>
      </c>
      <c r="B7" s="281">
        <v>41.030300134486119</v>
      </c>
      <c r="C7" s="281">
        <v>41.220185509180482</v>
      </c>
      <c r="D7" s="281">
        <v>44.929393647824035</v>
      </c>
      <c r="E7" s="281">
        <v>46.324081285968035</v>
      </c>
      <c r="F7" s="281">
        <v>46.859017218309475</v>
      </c>
      <c r="G7" s="281">
        <v>45.960202352682678</v>
      </c>
      <c r="H7" s="281">
        <v>48.28706649457834</v>
      </c>
      <c r="I7" s="281">
        <v>49.241956692399121</v>
      </c>
      <c r="J7" s="281">
        <v>49.797408153449396</v>
      </c>
      <c r="K7" s="281">
        <v>50.614010798999999</v>
      </c>
      <c r="L7" s="281">
        <v>50.115693575333339</v>
      </c>
      <c r="M7" s="282">
        <v>51.199323947594436</v>
      </c>
      <c r="O7" s="280" t="s">
        <v>226</v>
      </c>
      <c r="P7" s="281">
        <f>+SUM(P8:P10)</f>
        <v>41.030300134486119</v>
      </c>
      <c r="Q7" s="281">
        <f t="shared" ref="Q7:Z7" si="7">+SUM(Q8:Q10)</f>
        <v>41.220185509180482</v>
      </c>
      <c r="R7" s="281">
        <f t="shared" si="7"/>
        <v>44.929393647824035</v>
      </c>
      <c r="S7" s="281">
        <f t="shared" si="7"/>
        <v>46.324081285968035</v>
      </c>
      <c r="T7" s="281">
        <f t="shared" si="7"/>
        <v>46.859017218309475</v>
      </c>
      <c r="U7" s="281">
        <f t="shared" si="7"/>
        <v>45.960202352682678</v>
      </c>
      <c r="V7" s="281">
        <f t="shared" si="7"/>
        <v>48.28706649457834</v>
      </c>
      <c r="W7" s="281">
        <f t="shared" si="7"/>
        <v>49.241956692399121</v>
      </c>
      <c r="X7" s="281">
        <f t="shared" si="7"/>
        <v>49.797408153449396</v>
      </c>
      <c r="Y7" s="281">
        <f t="shared" si="7"/>
        <v>50.614010798999999</v>
      </c>
      <c r="Z7" s="281">
        <f t="shared" si="7"/>
        <v>50.115693575333339</v>
      </c>
      <c r="AA7" s="281">
        <f t="shared" ref="AA7" si="8">+SUM(AA8:AA10)</f>
        <v>51.199323947594436</v>
      </c>
    </row>
    <row r="8" spans="1:27" x14ac:dyDescent="0.25">
      <c r="A8" s="283" t="s">
        <v>227</v>
      </c>
      <c r="B8" s="284">
        <v>37.818519188904972</v>
      </c>
      <c r="C8" s="284">
        <v>38.116551169813</v>
      </c>
      <c r="D8" s="284">
        <v>41.841694073050938</v>
      </c>
      <c r="E8" s="284">
        <v>42.998195314175781</v>
      </c>
      <c r="F8" s="284">
        <v>43.257767833187728</v>
      </c>
      <c r="G8" s="284">
        <v>42.392758598436664</v>
      </c>
      <c r="H8" s="284">
        <v>44.504407513066418</v>
      </c>
      <c r="I8" s="284">
        <v>45.366392604984824</v>
      </c>
      <c r="J8" s="284">
        <v>45.683726883205182</v>
      </c>
      <c r="K8" s="284">
        <v>46.61134699151107</v>
      </c>
      <c r="L8" s="284">
        <v>46.077359502337423</v>
      </c>
      <c r="M8" s="285">
        <v>47.173481230882572</v>
      </c>
      <c r="O8" s="297" t="s">
        <v>22</v>
      </c>
      <c r="P8" s="284">
        <f t="shared" ref="P8:AA8" si="9">+B11</f>
        <v>12.340856758044024</v>
      </c>
      <c r="Q8" s="284">
        <f t="shared" si="9"/>
        <v>12.945817827476905</v>
      </c>
      <c r="R8" s="284">
        <f t="shared" si="9"/>
        <v>14.013557095475738</v>
      </c>
      <c r="S8" s="284">
        <f t="shared" si="9"/>
        <v>13.673745005233783</v>
      </c>
      <c r="T8" s="284">
        <f t="shared" si="9"/>
        <v>16.332802854080555</v>
      </c>
      <c r="U8" s="284">
        <f t="shared" si="9"/>
        <v>15.317404354951286</v>
      </c>
      <c r="V8" s="284">
        <f t="shared" si="9"/>
        <v>15.201375191123553</v>
      </c>
      <c r="W8" s="284">
        <f t="shared" si="9"/>
        <v>17.203376979547123</v>
      </c>
      <c r="X8" s="284">
        <f t="shared" si="9"/>
        <v>17.721871740449405</v>
      </c>
      <c r="Y8" s="284">
        <f t="shared" si="9"/>
        <v>17.849445367999998</v>
      </c>
      <c r="Z8" s="284">
        <f t="shared" si="9"/>
        <v>16.987935426000004</v>
      </c>
      <c r="AA8" s="284">
        <f t="shared" si="9"/>
        <v>16.332468384594431</v>
      </c>
    </row>
    <row r="9" spans="1:27" x14ac:dyDescent="0.25">
      <c r="A9" s="283" t="s">
        <v>223</v>
      </c>
      <c r="B9" s="284">
        <v>20.771077318442099</v>
      </c>
      <c r="C9" s="284">
        <v>21.095235407703576</v>
      </c>
      <c r="D9" s="284">
        <v>22.149324045348294</v>
      </c>
      <c r="E9" s="284">
        <v>23.719267829734246</v>
      </c>
      <c r="F9" s="284">
        <v>22.529441128228918</v>
      </c>
      <c r="G9" s="284">
        <v>21.855589147731393</v>
      </c>
      <c r="H9" s="284">
        <v>22.87035634045478</v>
      </c>
      <c r="I9" s="284">
        <v>22.097255785851999</v>
      </c>
      <c r="J9" s="284">
        <v>21.522738075999996</v>
      </c>
      <c r="K9" s="284">
        <v>23.317355537000001</v>
      </c>
      <c r="L9" s="284">
        <v>22.197737883000002</v>
      </c>
      <c r="M9" s="285">
        <v>23.947209400000002</v>
      </c>
      <c r="O9" s="297" t="s">
        <v>23</v>
      </c>
      <c r="P9" s="284">
        <f t="shared" ref="P9:AA9" si="10">+B9</f>
        <v>20.771077318442099</v>
      </c>
      <c r="Q9" s="284">
        <f t="shared" si="10"/>
        <v>21.095235407703576</v>
      </c>
      <c r="R9" s="284">
        <f t="shared" si="10"/>
        <v>22.149324045348294</v>
      </c>
      <c r="S9" s="284">
        <f t="shared" si="10"/>
        <v>23.719267829734246</v>
      </c>
      <c r="T9" s="284">
        <f t="shared" si="10"/>
        <v>22.529441128228918</v>
      </c>
      <c r="U9" s="284">
        <f t="shared" si="10"/>
        <v>21.855589147731393</v>
      </c>
      <c r="V9" s="284">
        <f t="shared" si="10"/>
        <v>22.87035634045478</v>
      </c>
      <c r="W9" s="284">
        <f t="shared" si="10"/>
        <v>22.097255785851999</v>
      </c>
      <c r="X9" s="284">
        <f t="shared" si="10"/>
        <v>21.522738075999996</v>
      </c>
      <c r="Y9" s="284">
        <f t="shared" si="10"/>
        <v>23.317355537000001</v>
      </c>
      <c r="Z9" s="284">
        <f t="shared" si="10"/>
        <v>22.197737883000002</v>
      </c>
      <c r="AA9" s="284">
        <f t="shared" si="10"/>
        <v>23.947209400000002</v>
      </c>
    </row>
    <row r="10" spans="1:27" x14ac:dyDescent="0.25">
      <c r="A10" s="283" t="s">
        <v>227</v>
      </c>
      <c r="B10" s="284">
        <v>19.835574891714234</v>
      </c>
      <c r="C10" s="284">
        <v>20.273736546160126</v>
      </c>
      <c r="D10" s="284">
        <v>21.473493959095549</v>
      </c>
      <c r="E10" s="284">
        <v>22.907812059567711</v>
      </c>
      <c r="F10" s="284">
        <v>21.755525613518699</v>
      </c>
      <c r="G10" s="284">
        <v>21.111308267299833</v>
      </c>
      <c r="H10" s="284">
        <v>22.053229999908623</v>
      </c>
      <c r="I10" s="284">
        <v>21.304650565655166</v>
      </c>
      <c r="J10" s="284">
        <v>20.81206022361911</v>
      </c>
      <c r="K10" s="284">
        <v>22.507975874398159</v>
      </c>
      <c r="L10" s="284">
        <v>21.424556790148991</v>
      </c>
      <c r="M10" s="285">
        <v>23.106888903615676</v>
      </c>
      <c r="O10" s="298" t="s">
        <v>24</v>
      </c>
      <c r="P10" s="284">
        <f t="shared" ref="P10:AA10" si="11">+B13</f>
        <v>7.9183660579999984</v>
      </c>
      <c r="Q10" s="284">
        <f t="shared" si="11"/>
        <v>7.1791322739999988</v>
      </c>
      <c r="R10" s="284">
        <f t="shared" si="11"/>
        <v>8.7665125069999998</v>
      </c>
      <c r="S10" s="284">
        <f t="shared" si="11"/>
        <v>8.9310684510000016</v>
      </c>
      <c r="T10" s="284">
        <f t="shared" si="11"/>
        <v>7.9967732359999992</v>
      </c>
      <c r="U10" s="284">
        <f t="shared" si="11"/>
        <v>8.7872088500000007</v>
      </c>
      <c r="V10" s="284">
        <f t="shared" si="11"/>
        <v>10.215334963000002</v>
      </c>
      <c r="W10" s="284">
        <f t="shared" si="11"/>
        <v>9.9413239270000009</v>
      </c>
      <c r="X10" s="284">
        <f t="shared" si="11"/>
        <v>10.552798336999999</v>
      </c>
      <c r="Y10" s="284">
        <f t="shared" si="11"/>
        <v>9.4472098940000002</v>
      </c>
      <c r="Z10" s="284">
        <f t="shared" si="11"/>
        <v>10.930020266333331</v>
      </c>
      <c r="AA10" s="284">
        <f t="shared" si="11"/>
        <v>10.919646162999999</v>
      </c>
    </row>
    <row r="11" spans="1:27" x14ac:dyDescent="0.25">
      <c r="A11" s="283" t="s">
        <v>228</v>
      </c>
      <c r="B11" s="284">
        <v>12.340856758044024</v>
      </c>
      <c r="C11" s="284">
        <v>12.945817827476905</v>
      </c>
      <c r="D11" s="284">
        <v>14.013557095475738</v>
      </c>
      <c r="E11" s="284">
        <v>13.673745005233783</v>
      </c>
      <c r="F11" s="284">
        <v>16.332802854080555</v>
      </c>
      <c r="G11" s="284">
        <v>15.317404354951286</v>
      </c>
      <c r="H11" s="284">
        <v>15.201375191123553</v>
      </c>
      <c r="I11" s="284">
        <v>17.203376979547123</v>
      </c>
      <c r="J11" s="284">
        <v>17.721871740449405</v>
      </c>
      <c r="K11" s="284">
        <v>17.849445367999998</v>
      </c>
      <c r="L11" s="284">
        <v>16.987935426000004</v>
      </c>
      <c r="M11" s="285">
        <v>16.332468384594431</v>
      </c>
      <c r="O11" s="271" t="s">
        <v>229</v>
      </c>
      <c r="P11" s="272">
        <f t="shared" ref="P11:Z11" si="12">+SUM(P12:P14)</f>
        <v>15.973689299</v>
      </c>
      <c r="Q11" s="272">
        <f t="shared" si="12"/>
        <v>15.911710967000001</v>
      </c>
      <c r="R11" s="272">
        <f t="shared" si="12"/>
        <v>16.928681208</v>
      </c>
      <c r="S11" s="272">
        <f t="shared" si="12"/>
        <v>15.269139976</v>
      </c>
      <c r="T11" s="272">
        <f t="shared" si="12"/>
        <v>18.247714078999998</v>
      </c>
      <c r="U11" s="272">
        <f t="shared" si="12"/>
        <v>18.327240557999996</v>
      </c>
      <c r="V11" s="272">
        <f t="shared" si="12"/>
        <v>18.180107834999998</v>
      </c>
      <c r="W11" s="272">
        <f t="shared" si="12"/>
        <v>19.291717195999997</v>
      </c>
      <c r="X11" s="272">
        <f t="shared" si="12"/>
        <v>21.675962932999997</v>
      </c>
      <c r="Y11" s="272">
        <f t="shared" si="12"/>
        <v>21.643988801000003</v>
      </c>
      <c r="Z11" s="272">
        <f t="shared" si="12"/>
        <v>21.428280718000003</v>
      </c>
      <c r="AA11" s="272">
        <f t="shared" ref="AA11" si="13">+SUM(AA12:AA14)</f>
        <v>19.899999999999999</v>
      </c>
    </row>
    <row r="12" spans="1:27" x14ac:dyDescent="0.25">
      <c r="A12" s="283" t="s">
        <v>227</v>
      </c>
      <c r="B12" s="284">
        <v>10.997285033256617</v>
      </c>
      <c r="C12" s="284">
        <v>11.623376616552404</v>
      </c>
      <c r="D12" s="284">
        <v>12.594294805635791</v>
      </c>
      <c r="E12" s="284">
        <v>12.211368779980939</v>
      </c>
      <c r="F12" s="284">
        <v>14.560655977348228</v>
      </c>
      <c r="G12" s="284">
        <v>13.542698195205206</v>
      </c>
      <c r="H12" s="284">
        <v>13.362385570191361</v>
      </c>
      <c r="I12" s="284">
        <v>15.219995005617324</v>
      </c>
      <c r="J12" s="284">
        <v>15.572666144803893</v>
      </c>
      <c r="K12" s="284">
        <v>15.75435152767829</v>
      </c>
      <c r="L12" s="284">
        <v>14.982152142074495</v>
      </c>
      <c r="M12" s="285">
        <v>14.392050769983673</v>
      </c>
      <c r="O12" s="274" t="s">
        <v>22</v>
      </c>
      <c r="P12" s="275">
        <f t="shared" ref="P12:AA12" si="14">+B17</f>
        <v>11.218803402000001</v>
      </c>
      <c r="Q12" s="275">
        <f t="shared" si="14"/>
        <v>11.713046432000002</v>
      </c>
      <c r="R12" s="275">
        <f t="shared" si="14"/>
        <v>12.930475745999999</v>
      </c>
      <c r="S12" s="275">
        <f t="shared" si="14"/>
        <v>12.403726085000001</v>
      </c>
      <c r="T12" s="275">
        <f t="shared" si="14"/>
        <v>14.129783229000001</v>
      </c>
      <c r="U12" s="275">
        <f t="shared" si="14"/>
        <v>13.385261207999998</v>
      </c>
      <c r="V12" s="275">
        <f t="shared" si="14"/>
        <v>13.460315695</v>
      </c>
      <c r="W12" s="275">
        <f t="shared" si="14"/>
        <v>14.433329788999998</v>
      </c>
      <c r="X12" s="275">
        <f t="shared" si="14"/>
        <v>14.730722603</v>
      </c>
      <c r="Y12" s="275">
        <f t="shared" si="14"/>
        <v>15.029538881000001</v>
      </c>
      <c r="Z12" s="275">
        <f t="shared" si="14"/>
        <v>14.70858106</v>
      </c>
      <c r="AA12" s="275">
        <f t="shared" si="14"/>
        <v>14</v>
      </c>
    </row>
    <row r="13" spans="1:27" x14ac:dyDescent="0.25">
      <c r="A13" s="283" t="s">
        <v>230</v>
      </c>
      <c r="B13" s="284">
        <v>7.9183660579999984</v>
      </c>
      <c r="C13" s="284">
        <v>7.1791322739999988</v>
      </c>
      <c r="D13" s="284">
        <v>8.7665125069999998</v>
      </c>
      <c r="E13" s="284">
        <v>8.9310684510000016</v>
      </c>
      <c r="F13" s="284">
        <v>7.9967732359999992</v>
      </c>
      <c r="G13" s="284">
        <v>8.7872088500000007</v>
      </c>
      <c r="H13" s="284">
        <v>10.215334963000002</v>
      </c>
      <c r="I13" s="284">
        <v>9.9413239270000009</v>
      </c>
      <c r="J13" s="284">
        <v>10.552798336999999</v>
      </c>
      <c r="K13" s="284">
        <v>9.4472098940000002</v>
      </c>
      <c r="L13" s="284">
        <v>10.930020266333331</v>
      </c>
      <c r="M13" s="285">
        <v>10.919646162999999</v>
      </c>
      <c r="O13" s="274" t="s">
        <v>23</v>
      </c>
      <c r="P13" s="275">
        <f t="shared" ref="P13:AA13" si="15">+B16</f>
        <v>4.5025685549999999</v>
      </c>
      <c r="Q13" s="275">
        <f t="shared" si="15"/>
        <v>3.9861286679999997</v>
      </c>
      <c r="R13" s="275">
        <f t="shared" si="15"/>
        <v>3.6562626399999996</v>
      </c>
      <c r="S13" s="275">
        <f t="shared" si="15"/>
        <v>2.6108814170000003</v>
      </c>
      <c r="T13" s="275">
        <f t="shared" si="15"/>
        <v>3.6535254729999997</v>
      </c>
      <c r="U13" s="275">
        <f t="shared" si="15"/>
        <v>4.1425164899999993</v>
      </c>
      <c r="V13" s="275">
        <f t="shared" si="15"/>
        <v>4.1582179479999999</v>
      </c>
      <c r="W13" s="275">
        <f t="shared" si="15"/>
        <v>4.3291022700000008</v>
      </c>
      <c r="X13" s="275">
        <f t="shared" si="15"/>
        <v>5.9746448899999987</v>
      </c>
      <c r="Y13" s="275">
        <f t="shared" si="15"/>
        <v>5.7965793170000008</v>
      </c>
      <c r="Z13" s="275">
        <f t="shared" si="15"/>
        <v>5.5701539910000006</v>
      </c>
      <c r="AA13" s="275">
        <f t="shared" si="15"/>
        <v>4.7</v>
      </c>
    </row>
    <row r="14" spans="1:27" x14ac:dyDescent="0.25">
      <c r="A14" s="283" t="s">
        <v>227</v>
      </c>
      <c r="B14" s="284">
        <v>6.9856592639341182</v>
      </c>
      <c r="C14" s="284">
        <v>6.2194380071004733</v>
      </c>
      <c r="D14" s="284">
        <v>7.7739053083195984</v>
      </c>
      <c r="E14" s="284">
        <v>7.879014474627132</v>
      </c>
      <c r="F14" s="284">
        <v>6.9415862423208026</v>
      </c>
      <c r="G14" s="284">
        <v>7.738752135931624</v>
      </c>
      <c r="H14" s="284">
        <v>9.088791942966429</v>
      </c>
      <c r="I14" s="284">
        <v>8.8417470337123412</v>
      </c>
      <c r="J14" s="284">
        <v>9.2990005147821773</v>
      </c>
      <c r="K14" s="284">
        <v>8.3490195894346222</v>
      </c>
      <c r="L14" s="284">
        <v>9.6706505701139349</v>
      </c>
      <c r="M14" s="285">
        <v>9.6745415572832201</v>
      </c>
      <c r="O14" s="277" t="s">
        <v>24</v>
      </c>
      <c r="P14" s="278">
        <f t="shared" ref="P14:AA14" si="16">+B18</f>
        <v>0.252317342</v>
      </c>
      <c r="Q14" s="278">
        <f t="shared" si="16"/>
        <v>0.21253586699999999</v>
      </c>
      <c r="R14" s="278">
        <f t="shared" si="16"/>
        <v>0.34194282199999998</v>
      </c>
      <c r="S14" s="278">
        <f t="shared" si="16"/>
        <v>0.25453247400000001</v>
      </c>
      <c r="T14" s="278">
        <f t="shared" si="16"/>
        <v>0.46440537700000006</v>
      </c>
      <c r="U14" s="278">
        <f t="shared" si="16"/>
        <v>0.79946286</v>
      </c>
      <c r="V14" s="278">
        <f t="shared" si="16"/>
        <v>0.56157419200000003</v>
      </c>
      <c r="W14" s="278">
        <f t="shared" si="16"/>
        <v>0.52928513700000002</v>
      </c>
      <c r="X14" s="278">
        <f t="shared" si="16"/>
        <v>0.9705954400000002</v>
      </c>
      <c r="Y14" s="278">
        <f t="shared" si="16"/>
        <v>0.81787060299999992</v>
      </c>
      <c r="Z14" s="278">
        <f t="shared" si="16"/>
        <v>1.1495456669999999</v>
      </c>
      <c r="AA14" s="278">
        <f t="shared" si="16"/>
        <v>1.2000000000000002</v>
      </c>
    </row>
    <row r="15" spans="1:27" x14ac:dyDescent="0.25">
      <c r="A15" s="271" t="s">
        <v>229</v>
      </c>
      <c r="B15" s="286">
        <v>15.973689299</v>
      </c>
      <c r="C15" s="286">
        <v>15.911710967000001</v>
      </c>
      <c r="D15" s="286">
        <v>16.928681208</v>
      </c>
      <c r="E15" s="286">
        <v>15.269139976</v>
      </c>
      <c r="F15" s="286">
        <v>18.247714078999998</v>
      </c>
      <c r="G15" s="286">
        <v>18.327240557999996</v>
      </c>
      <c r="H15" s="286">
        <v>18.180107834999998</v>
      </c>
      <c r="I15" s="286">
        <v>19.291717195999997</v>
      </c>
      <c r="J15" s="286">
        <v>21.675962932999997</v>
      </c>
      <c r="K15" s="286">
        <v>21.643988801000003</v>
      </c>
      <c r="L15" s="286">
        <v>21.428280718000003</v>
      </c>
      <c r="M15" s="287">
        <v>19.899999999999999</v>
      </c>
      <c r="O15" s="280" t="s">
        <v>231</v>
      </c>
      <c r="P15" s="281">
        <f t="shared" ref="P15:Z15" si="17">+SUM(P16:P18)</f>
        <v>0.98343231499999995</v>
      </c>
      <c r="Q15" s="281">
        <f t="shared" si="17"/>
        <v>0.745395221</v>
      </c>
      <c r="R15" s="281">
        <f t="shared" si="17"/>
        <v>1.1864511580000001</v>
      </c>
      <c r="S15" s="281">
        <f t="shared" si="17"/>
        <v>1.3567917630000004</v>
      </c>
      <c r="T15" s="281">
        <f t="shared" si="17"/>
        <v>1.004462851</v>
      </c>
      <c r="U15" s="281">
        <f t="shared" si="17"/>
        <v>1.1377640640000002</v>
      </c>
      <c r="V15" s="281">
        <f t="shared" si="17"/>
        <v>1.343944249</v>
      </c>
      <c r="W15" s="281">
        <f t="shared" si="17"/>
        <v>1.1011281449999997</v>
      </c>
      <c r="X15" s="281">
        <f t="shared" si="17"/>
        <v>1.1340885980000002</v>
      </c>
      <c r="Y15" s="281">
        <f t="shared" si="17"/>
        <v>1.0410480020000001</v>
      </c>
      <c r="Z15" s="281">
        <f t="shared" si="17"/>
        <v>1.0972804759999999</v>
      </c>
      <c r="AA15" s="281">
        <f t="shared" ref="AA15" si="18">+SUM(AA16:AA18)</f>
        <v>0.86033424433333339</v>
      </c>
    </row>
    <row r="16" spans="1:27" x14ac:dyDescent="0.25">
      <c r="A16" s="274" t="s">
        <v>223</v>
      </c>
      <c r="B16" s="288">
        <v>4.5025685549999999</v>
      </c>
      <c r="C16" s="288">
        <v>3.9861286679999997</v>
      </c>
      <c r="D16" s="288">
        <v>3.6562626399999996</v>
      </c>
      <c r="E16" s="288">
        <v>2.6108814170000003</v>
      </c>
      <c r="F16" s="288">
        <v>3.6535254729999997</v>
      </c>
      <c r="G16" s="288">
        <v>4.1425164899999993</v>
      </c>
      <c r="H16" s="288">
        <v>4.1582179479999999</v>
      </c>
      <c r="I16" s="288">
        <v>4.3291022700000008</v>
      </c>
      <c r="J16" s="288">
        <v>5.9746448899999987</v>
      </c>
      <c r="K16" s="288">
        <v>5.7965793170000008</v>
      </c>
      <c r="L16" s="288">
        <v>5.5701539910000006</v>
      </c>
      <c r="M16" s="289">
        <v>4.7</v>
      </c>
      <c r="O16" s="297" t="s">
        <v>22</v>
      </c>
      <c r="P16" s="284">
        <f t="shared" ref="P16:AA16" si="19">+B21</f>
        <v>0.12563176400000001</v>
      </c>
      <c r="Q16" s="284">
        <f t="shared" si="19"/>
        <v>0.147662659</v>
      </c>
      <c r="R16" s="284">
        <f t="shared" si="19"/>
        <v>8.1187071E-2</v>
      </c>
      <c r="S16" s="284">
        <f t="shared" si="19"/>
        <v>0.13694518</v>
      </c>
      <c r="T16" s="284">
        <f t="shared" si="19"/>
        <v>0.18280827100000005</v>
      </c>
      <c r="U16" s="284">
        <f t="shared" si="19"/>
        <v>0.23873649200000002</v>
      </c>
      <c r="V16" s="284">
        <f t="shared" si="19"/>
        <v>0.34074086199999998</v>
      </c>
      <c r="W16" s="284">
        <f t="shared" si="19"/>
        <v>0.212586107</v>
      </c>
      <c r="X16" s="284">
        <f t="shared" si="19"/>
        <v>0.24062468100000001</v>
      </c>
      <c r="Y16" s="284">
        <f t="shared" si="19"/>
        <v>0.19716351300000001</v>
      </c>
      <c r="Z16" s="284">
        <f t="shared" si="19"/>
        <v>0.27005563400000004</v>
      </c>
      <c r="AA16" s="284">
        <f t="shared" si="19"/>
        <v>0.24108880733333338</v>
      </c>
    </row>
    <row r="17" spans="1:27" x14ac:dyDescent="0.25">
      <c r="A17" s="274" t="s">
        <v>224</v>
      </c>
      <c r="B17" s="288">
        <v>11.218803402000001</v>
      </c>
      <c r="C17" s="288">
        <v>11.713046432000002</v>
      </c>
      <c r="D17" s="288">
        <v>12.930475745999999</v>
      </c>
      <c r="E17" s="288">
        <v>12.403726085000001</v>
      </c>
      <c r="F17" s="288">
        <v>14.129783229000001</v>
      </c>
      <c r="G17" s="288">
        <v>13.385261207999998</v>
      </c>
      <c r="H17" s="288">
        <v>13.460315695</v>
      </c>
      <c r="I17" s="288">
        <v>14.433329788999998</v>
      </c>
      <c r="J17" s="288">
        <v>14.730722603</v>
      </c>
      <c r="K17" s="288">
        <v>15.029538881000001</v>
      </c>
      <c r="L17" s="288">
        <v>14.70858106</v>
      </c>
      <c r="M17" s="289">
        <v>14</v>
      </c>
      <c r="O17" s="297" t="s">
        <v>23</v>
      </c>
      <c r="P17" s="284">
        <f t="shared" ref="P17:AA17" si="20">+B20</f>
        <v>0.165129267</v>
      </c>
      <c r="Q17" s="284">
        <f t="shared" si="20"/>
        <v>0.11578896899999999</v>
      </c>
      <c r="R17" s="284">
        <f t="shared" si="20"/>
        <v>0.31292377200000004</v>
      </c>
      <c r="S17" s="284">
        <f t="shared" si="20"/>
        <v>0.5970725600000002</v>
      </c>
      <c r="T17" s="284">
        <f t="shared" si="20"/>
        <v>0.37108243899999999</v>
      </c>
      <c r="U17" s="284">
        <f t="shared" si="20"/>
        <v>0.42918356200000002</v>
      </c>
      <c r="V17" s="284">
        <f t="shared" si="20"/>
        <v>0.32005415799999998</v>
      </c>
      <c r="W17" s="284">
        <f t="shared" si="20"/>
        <v>0.291070828</v>
      </c>
      <c r="X17" s="284">
        <f t="shared" si="20"/>
        <v>0.33150681400000004</v>
      </c>
      <c r="Y17" s="284">
        <f t="shared" si="20"/>
        <v>0.17310378000000001</v>
      </c>
      <c r="Z17" s="284">
        <f t="shared" si="20"/>
        <v>0.42465610799999998</v>
      </c>
      <c r="AA17" s="284">
        <f t="shared" si="20"/>
        <v>0.31421060000000001</v>
      </c>
    </row>
    <row r="18" spans="1:27" x14ac:dyDescent="0.25">
      <c r="A18" s="277" t="s">
        <v>225</v>
      </c>
      <c r="B18" s="288">
        <v>0.252317342</v>
      </c>
      <c r="C18" s="288">
        <v>0.21253586699999999</v>
      </c>
      <c r="D18" s="288">
        <v>0.34194282199999998</v>
      </c>
      <c r="E18" s="288">
        <v>0.25453247400000001</v>
      </c>
      <c r="F18" s="288">
        <v>0.46440537700000006</v>
      </c>
      <c r="G18" s="288">
        <v>0.79946286</v>
      </c>
      <c r="H18" s="288">
        <v>0.56157419200000003</v>
      </c>
      <c r="I18" s="288">
        <v>0.52928513700000002</v>
      </c>
      <c r="J18" s="288">
        <v>0.9705954400000002</v>
      </c>
      <c r="K18" s="288">
        <v>0.81787060299999992</v>
      </c>
      <c r="L18" s="288">
        <v>1.1495456669999999</v>
      </c>
      <c r="M18" s="289">
        <v>1.2000000000000002</v>
      </c>
      <c r="O18" s="298" t="s">
        <v>24</v>
      </c>
      <c r="P18" s="284">
        <f t="shared" ref="P18:AA18" si="21">+B22</f>
        <v>0.692671284</v>
      </c>
      <c r="Q18" s="284">
        <f t="shared" si="21"/>
        <v>0.481943593</v>
      </c>
      <c r="R18" s="284">
        <f t="shared" si="21"/>
        <v>0.79234031500000002</v>
      </c>
      <c r="S18" s="284">
        <f t="shared" si="21"/>
        <v>0.62277402300000007</v>
      </c>
      <c r="T18" s="284">
        <f t="shared" si="21"/>
        <v>0.45057214099999998</v>
      </c>
      <c r="U18" s="284">
        <f t="shared" si="21"/>
        <v>0.46984400999999998</v>
      </c>
      <c r="V18" s="284">
        <f t="shared" si="21"/>
        <v>0.68314922900000008</v>
      </c>
      <c r="W18" s="284">
        <f t="shared" si="21"/>
        <v>0.59747120999999981</v>
      </c>
      <c r="X18" s="284">
        <f t="shared" si="21"/>
        <v>0.56195710300000012</v>
      </c>
      <c r="Y18" s="284">
        <f t="shared" si="21"/>
        <v>0.6707807090000002</v>
      </c>
      <c r="Z18" s="284">
        <f t="shared" si="21"/>
        <v>0.40256873399999998</v>
      </c>
      <c r="AA18" s="284">
        <f t="shared" si="21"/>
        <v>0.305034837</v>
      </c>
    </row>
    <row r="19" spans="1:27" x14ac:dyDescent="0.25">
      <c r="A19" s="280" t="s">
        <v>231</v>
      </c>
      <c r="B19" s="281">
        <v>0.98343231499999995</v>
      </c>
      <c r="C19" s="281">
        <v>0.745395221</v>
      </c>
      <c r="D19" s="281">
        <v>1.1864511580000001</v>
      </c>
      <c r="E19" s="281">
        <v>1.3567917630000004</v>
      </c>
      <c r="F19" s="281">
        <v>1.004462851</v>
      </c>
      <c r="G19" s="281">
        <v>1.1377640640000002</v>
      </c>
      <c r="H19" s="281">
        <v>1.343944249</v>
      </c>
      <c r="I19" s="281">
        <v>1.1011281449999997</v>
      </c>
      <c r="J19" s="281">
        <v>1.1340885980000002</v>
      </c>
      <c r="K19" s="281">
        <v>1.0410480020000001</v>
      </c>
      <c r="L19" s="281">
        <v>1.0972804759999999</v>
      </c>
      <c r="M19" s="282">
        <v>0.86033424433333339</v>
      </c>
      <c r="Q19"/>
    </row>
    <row r="20" spans="1:27" x14ac:dyDescent="0.25">
      <c r="A20" s="283" t="s">
        <v>223</v>
      </c>
      <c r="B20" s="284">
        <v>0.165129267</v>
      </c>
      <c r="C20" s="284">
        <v>0.11578896899999999</v>
      </c>
      <c r="D20" s="284">
        <v>0.31292377200000004</v>
      </c>
      <c r="E20" s="284">
        <v>0.5970725600000002</v>
      </c>
      <c r="F20" s="284">
        <v>0.37108243899999999</v>
      </c>
      <c r="G20" s="284">
        <v>0.42918356200000002</v>
      </c>
      <c r="H20" s="284">
        <v>0.32005415799999998</v>
      </c>
      <c r="I20" s="284">
        <v>0.291070828</v>
      </c>
      <c r="J20" s="284">
        <v>0.33150681400000004</v>
      </c>
      <c r="K20" s="284">
        <v>0.17310378000000001</v>
      </c>
      <c r="L20" s="284">
        <v>0.42465610799999998</v>
      </c>
      <c r="M20" s="285">
        <v>0.31421060000000001</v>
      </c>
      <c r="Q20"/>
    </row>
    <row r="21" spans="1:27" ht="30" x14ac:dyDescent="0.25">
      <c r="A21" s="283" t="s">
        <v>224</v>
      </c>
      <c r="B21" s="284">
        <v>0.12563176400000001</v>
      </c>
      <c r="C21" s="284">
        <v>0.147662659</v>
      </c>
      <c r="D21" s="284">
        <v>8.1187071E-2</v>
      </c>
      <c r="E21" s="284">
        <v>0.13694518</v>
      </c>
      <c r="F21" s="284">
        <v>0.18280827100000005</v>
      </c>
      <c r="G21" s="284">
        <v>0.23873649200000002</v>
      </c>
      <c r="H21" s="284">
        <v>0.34074086199999998</v>
      </c>
      <c r="I21" s="284">
        <v>0.212586107</v>
      </c>
      <c r="J21" s="284">
        <v>0.24062468100000001</v>
      </c>
      <c r="K21" s="284">
        <v>0.19716351300000001</v>
      </c>
      <c r="L21" s="284">
        <v>0.27005563400000004</v>
      </c>
      <c r="M21" s="285">
        <v>0.24108880733333338</v>
      </c>
      <c r="O21" s="269" t="s">
        <v>232</v>
      </c>
      <c r="P21" s="253" t="str">
        <f t="shared" ref="P21:AA21" si="22">+B25</f>
        <v>2011/12</v>
      </c>
      <c r="Q21" s="253" t="str">
        <f t="shared" si="22"/>
        <v>2012/13</v>
      </c>
      <c r="R21" s="253" t="str">
        <f t="shared" si="22"/>
        <v>2013/14</v>
      </c>
      <c r="S21" s="253" t="str">
        <f t="shared" si="22"/>
        <v>2014/15</v>
      </c>
      <c r="T21" s="253" t="str">
        <f t="shared" si="22"/>
        <v>2015/16</v>
      </c>
      <c r="U21" s="253" t="str">
        <f t="shared" si="22"/>
        <v>2016/17</v>
      </c>
      <c r="V21" s="253" t="str">
        <f t="shared" si="22"/>
        <v>2017/18</v>
      </c>
      <c r="W21" s="253" t="str">
        <f t="shared" si="22"/>
        <v>2018/19</v>
      </c>
      <c r="X21" s="253" t="str">
        <f t="shared" si="22"/>
        <v>2019/20</v>
      </c>
      <c r="Y21" s="253" t="str">
        <f t="shared" si="22"/>
        <v>2020/21</v>
      </c>
      <c r="Z21" s="253" t="str">
        <f t="shared" si="22"/>
        <v>2021/22</v>
      </c>
      <c r="AA21" s="253" t="str">
        <f t="shared" si="22"/>
        <v>2022/23</v>
      </c>
    </row>
    <row r="22" spans="1:27" x14ac:dyDescent="0.25">
      <c r="A22" s="283" t="s">
        <v>225</v>
      </c>
      <c r="B22" s="284">
        <v>0.692671284</v>
      </c>
      <c r="C22" s="284">
        <v>0.481943593</v>
      </c>
      <c r="D22" s="284">
        <v>0.79234031500000002</v>
      </c>
      <c r="E22" s="284">
        <v>0.62277402300000007</v>
      </c>
      <c r="F22" s="284">
        <v>0.45057214099999998</v>
      </c>
      <c r="G22" s="284">
        <v>0.46984400999999998</v>
      </c>
      <c r="H22" s="284">
        <v>0.68314922900000008</v>
      </c>
      <c r="I22" s="284">
        <v>0.59747120999999981</v>
      </c>
      <c r="J22" s="284">
        <v>0.56195710300000012</v>
      </c>
      <c r="K22" s="284">
        <v>0.6707807090000002</v>
      </c>
      <c r="L22" s="284">
        <v>0.40256873399999998</v>
      </c>
      <c r="M22" s="285">
        <v>0.305034837</v>
      </c>
      <c r="O22" s="271" t="s">
        <v>222</v>
      </c>
      <c r="P22" s="272">
        <f>+SUM(P23:P25)</f>
        <v>23.836245459713606</v>
      </c>
      <c r="Q22" s="272">
        <f t="shared" ref="Q22:Z22" si="23">+SUM(Q23:Q25)</f>
        <v>24.159188262292929</v>
      </c>
      <c r="R22" s="272">
        <f t="shared" si="23"/>
        <v>26.465032372712518</v>
      </c>
      <c r="S22" s="272">
        <f t="shared" si="23"/>
        <v>27.037892171183458</v>
      </c>
      <c r="T22" s="272">
        <f t="shared" si="23"/>
        <v>27.721440255087199</v>
      </c>
      <c r="U22" s="272">
        <f t="shared" si="23"/>
        <v>26.988490961335408</v>
      </c>
      <c r="V22" s="272">
        <f t="shared" si="23"/>
        <v>28.125461269030623</v>
      </c>
      <c r="W22" s="272">
        <f t="shared" si="23"/>
        <v>29.030407745402918</v>
      </c>
      <c r="X22" s="272">
        <f t="shared" si="23"/>
        <v>29.279730864988167</v>
      </c>
      <c r="Y22" s="272">
        <f t="shared" si="23"/>
        <v>29.867444729461841</v>
      </c>
      <c r="Z22" s="272">
        <f t="shared" si="23"/>
        <v>29.36675537618644</v>
      </c>
      <c r="AA22" s="272">
        <f t="shared" ref="AA22" si="24">+SUM(AA23:AA25)</f>
        <v>29.861644639853807</v>
      </c>
    </row>
    <row r="23" spans="1:27" x14ac:dyDescent="0.25">
      <c r="A23" s="231"/>
      <c r="O23" s="274" t="s">
        <v>22</v>
      </c>
      <c r="P23" s="275">
        <f t="shared" ref="P23:AA23" si="25">+B28</f>
        <v>8.687855176272727</v>
      </c>
      <c r="Q23" s="275">
        <f t="shared" si="25"/>
        <v>9.1824675270763993</v>
      </c>
      <c r="R23" s="275">
        <f t="shared" si="25"/>
        <v>9.9494928964522753</v>
      </c>
      <c r="S23" s="275">
        <f t="shared" si="25"/>
        <v>9.6469813361849415</v>
      </c>
      <c r="T23" s="275">
        <f t="shared" si="25"/>
        <v>11.5029182221051</v>
      </c>
      <c r="U23" s="275">
        <f t="shared" si="25"/>
        <v>10.698731574212113</v>
      </c>
      <c r="V23" s="275">
        <f t="shared" si="25"/>
        <v>10.556284600451175</v>
      </c>
      <c r="W23" s="275">
        <f t="shared" si="25"/>
        <v>12.023796054437687</v>
      </c>
      <c r="X23" s="275">
        <f t="shared" si="25"/>
        <v>12.302406254395077</v>
      </c>
      <c r="Y23" s="275">
        <f t="shared" si="25"/>
        <v>12.44593770686585</v>
      </c>
      <c r="Z23" s="275">
        <f t="shared" si="25"/>
        <v>11.835900192238851</v>
      </c>
      <c r="AA23" s="275">
        <f t="shared" si="25"/>
        <v>11.369720108287101</v>
      </c>
    </row>
    <row r="24" spans="1:27" x14ac:dyDescent="0.25">
      <c r="A24" s="232"/>
      <c r="O24" s="274" t="s">
        <v>23</v>
      </c>
      <c r="P24" s="275">
        <f t="shared" ref="P24:AA24" si="26">+B27</f>
        <v>11.306277688277113</v>
      </c>
      <c r="Q24" s="275">
        <f t="shared" si="26"/>
        <v>11.556029831311271</v>
      </c>
      <c r="R24" s="275">
        <f t="shared" si="26"/>
        <v>12.239891556684462</v>
      </c>
      <c r="S24" s="275">
        <f t="shared" si="26"/>
        <v>13.057452873953594</v>
      </c>
      <c r="T24" s="275">
        <f t="shared" si="26"/>
        <v>12.400649599705657</v>
      </c>
      <c r="U24" s="275">
        <f t="shared" si="26"/>
        <v>12.033445712360903</v>
      </c>
      <c r="V24" s="275">
        <f t="shared" si="26"/>
        <v>12.570341099947914</v>
      </c>
      <c r="W24" s="275">
        <f t="shared" si="26"/>
        <v>12.143650822423444</v>
      </c>
      <c r="X24" s="275">
        <f t="shared" si="26"/>
        <v>11.862874327462892</v>
      </c>
      <c r="Y24" s="275">
        <f t="shared" si="26"/>
        <v>12.829546248406949</v>
      </c>
      <c r="Z24" s="275">
        <f t="shared" si="26"/>
        <v>12.211997370384923</v>
      </c>
      <c r="AA24" s="275">
        <f t="shared" si="26"/>
        <v>13.170926675060935</v>
      </c>
    </row>
    <row r="25" spans="1:27" x14ac:dyDescent="0.25">
      <c r="A25" s="269" t="s">
        <v>232</v>
      </c>
      <c r="B25" s="253" t="s">
        <v>108</v>
      </c>
      <c r="C25" s="253" t="s">
        <v>107</v>
      </c>
      <c r="D25" s="253" t="s">
        <v>106</v>
      </c>
      <c r="E25" s="253" t="s">
        <v>105</v>
      </c>
      <c r="F25" s="253" t="s">
        <v>104</v>
      </c>
      <c r="G25" s="253" t="s">
        <v>103</v>
      </c>
      <c r="H25" s="253" t="s">
        <v>102</v>
      </c>
      <c r="I25" s="253" t="s">
        <v>82</v>
      </c>
      <c r="J25" s="253" t="s">
        <v>81</v>
      </c>
      <c r="K25" s="253" t="s">
        <v>79</v>
      </c>
      <c r="L25" s="253" t="s">
        <v>1</v>
      </c>
      <c r="M25" s="253" t="s">
        <v>270</v>
      </c>
      <c r="O25" s="277" t="s">
        <v>24</v>
      </c>
      <c r="P25" s="278">
        <f t="shared" ref="P25:AA25" si="27">+B29</f>
        <v>3.8421125951637651</v>
      </c>
      <c r="Q25" s="278">
        <f t="shared" si="27"/>
        <v>3.4206909039052604</v>
      </c>
      <c r="R25" s="278">
        <f t="shared" si="27"/>
        <v>4.2756479195757793</v>
      </c>
      <c r="S25" s="278">
        <f t="shared" si="27"/>
        <v>4.3334579610449229</v>
      </c>
      <c r="T25" s="278">
        <f t="shared" si="27"/>
        <v>3.8178724332764418</v>
      </c>
      <c r="U25" s="278">
        <f t="shared" si="27"/>
        <v>4.256313674762394</v>
      </c>
      <c r="V25" s="278">
        <f t="shared" si="27"/>
        <v>4.9988355686315362</v>
      </c>
      <c r="W25" s="278">
        <f t="shared" si="27"/>
        <v>4.862960868541788</v>
      </c>
      <c r="X25" s="278">
        <f t="shared" si="27"/>
        <v>5.1144502831301981</v>
      </c>
      <c r="Y25" s="278">
        <f t="shared" si="27"/>
        <v>4.5919607741890429</v>
      </c>
      <c r="Z25" s="278">
        <f t="shared" si="27"/>
        <v>5.3188578135626647</v>
      </c>
      <c r="AA25" s="278">
        <f t="shared" si="27"/>
        <v>5.3209978565057714</v>
      </c>
    </row>
    <row r="26" spans="1:27" x14ac:dyDescent="0.25">
      <c r="A26" s="271" t="s">
        <v>222</v>
      </c>
      <c r="B26" s="272">
        <v>23.836245459713606</v>
      </c>
      <c r="C26" s="272">
        <v>24.159188262292929</v>
      </c>
      <c r="D26" s="272">
        <v>26.465032372712518</v>
      </c>
      <c r="E26" s="272">
        <v>27.037892171183458</v>
      </c>
      <c r="F26" s="272">
        <v>27.721440255087199</v>
      </c>
      <c r="G26" s="272">
        <v>26.988490961335408</v>
      </c>
      <c r="H26" s="272">
        <v>28.125461269030623</v>
      </c>
      <c r="I26" s="272">
        <v>29.030407745402918</v>
      </c>
      <c r="J26" s="272">
        <v>29.279730864988167</v>
      </c>
      <c r="K26" s="272">
        <v>29.867444729461841</v>
      </c>
      <c r="L26" s="272">
        <v>29.36675537618644</v>
      </c>
      <c r="M26" s="273">
        <v>29.861644639853807</v>
      </c>
      <c r="O26" s="280" t="s">
        <v>226</v>
      </c>
      <c r="P26" s="281">
        <f t="shared" ref="P26:Z26" si="28">+SUM(P27:P29)</f>
        <v>45.270212483713614</v>
      </c>
      <c r="Q26" s="281">
        <f t="shared" si="28"/>
        <v>42.137684651292929</v>
      </c>
      <c r="R26" s="281">
        <f t="shared" si="28"/>
        <v>45.430210949712517</v>
      </c>
      <c r="S26" s="281">
        <f t="shared" si="28"/>
        <v>45.989090513183449</v>
      </c>
      <c r="T26" s="281">
        <f t="shared" si="28"/>
        <v>48.075232895087204</v>
      </c>
      <c r="U26" s="281">
        <f t="shared" si="28"/>
        <v>45.683338972002076</v>
      </c>
      <c r="V26" s="281">
        <f t="shared" si="28"/>
        <v>47.529320417919507</v>
      </c>
      <c r="W26" s="281">
        <f t="shared" si="28"/>
        <v>47.668441551254773</v>
      </c>
      <c r="X26" s="281">
        <f t="shared" si="28"/>
        <v>47.52166429879064</v>
      </c>
      <c r="Y26" s="281">
        <f t="shared" si="28"/>
        <v>47.487190452976243</v>
      </c>
      <c r="Z26" s="281">
        <f t="shared" si="28"/>
        <v>46.729922482242685</v>
      </c>
      <c r="AA26" s="281">
        <f t="shared" ref="AA26" si="29">+SUM(AA27:AA29)</f>
        <v>46.395206535044025</v>
      </c>
    </row>
    <row r="27" spans="1:27" x14ac:dyDescent="0.25">
      <c r="A27" s="274" t="s">
        <v>223</v>
      </c>
      <c r="B27" s="275">
        <v>11.306277688277113</v>
      </c>
      <c r="C27" s="275">
        <v>11.556029831311271</v>
      </c>
      <c r="D27" s="275">
        <v>12.239891556684462</v>
      </c>
      <c r="E27" s="275">
        <v>13.057452873953594</v>
      </c>
      <c r="F27" s="275">
        <v>12.400649599705657</v>
      </c>
      <c r="G27" s="275">
        <v>12.033445712360903</v>
      </c>
      <c r="H27" s="275">
        <v>12.570341099947914</v>
      </c>
      <c r="I27" s="275">
        <v>12.143650822423444</v>
      </c>
      <c r="J27" s="275">
        <v>11.862874327462892</v>
      </c>
      <c r="K27" s="275">
        <v>12.829546248406949</v>
      </c>
      <c r="L27" s="275">
        <v>12.211997370384923</v>
      </c>
      <c r="M27" s="276">
        <v>13.170926675060935</v>
      </c>
      <c r="O27" s="297" t="s">
        <v>22</v>
      </c>
      <c r="P27" s="284">
        <f t="shared" ref="P27:AA27" si="30">+B32</f>
        <v>27.362844236272732</v>
      </c>
      <c r="Q27" s="284">
        <f t="shared" si="30"/>
        <v>23.944539965076395</v>
      </c>
      <c r="R27" s="284">
        <f t="shared" si="30"/>
        <v>26.297305471452276</v>
      </c>
      <c r="S27" s="284">
        <f t="shared" si="30"/>
        <v>26.098039208184939</v>
      </c>
      <c r="T27" s="284">
        <f t="shared" si="30"/>
        <v>29.382081536105101</v>
      </c>
      <c r="U27" s="284">
        <f t="shared" si="30"/>
        <v>26.743019293878781</v>
      </c>
      <c r="V27" s="284">
        <f t="shared" si="30"/>
        <v>27.235991091340061</v>
      </c>
      <c r="W27" s="284">
        <f t="shared" si="30"/>
        <v>27.866662831289542</v>
      </c>
      <c r="X27" s="284">
        <f t="shared" si="30"/>
        <v>28.274974097197546</v>
      </c>
      <c r="Y27" s="284">
        <f t="shared" si="30"/>
        <v>28.275953648380252</v>
      </c>
      <c r="Z27" s="284">
        <f t="shared" si="30"/>
        <v>27.849791402295093</v>
      </c>
      <c r="AA27" s="284">
        <f t="shared" si="30"/>
        <v>26.61294906647732</v>
      </c>
    </row>
    <row r="28" spans="1:27" x14ac:dyDescent="0.25">
      <c r="A28" s="274" t="s">
        <v>224</v>
      </c>
      <c r="B28" s="275">
        <v>8.687855176272727</v>
      </c>
      <c r="C28" s="275">
        <v>9.1824675270763993</v>
      </c>
      <c r="D28" s="275">
        <v>9.9494928964522753</v>
      </c>
      <c r="E28" s="275">
        <v>9.6469813361849415</v>
      </c>
      <c r="F28" s="275">
        <v>11.5029182221051</v>
      </c>
      <c r="G28" s="275">
        <v>10.698731574212113</v>
      </c>
      <c r="H28" s="275">
        <v>10.556284600451175</v>
      </c>
      <c r="I28" s="275">
        <v>12.023796054437687</v>
      </c>
      <c r="J28" s="275">
        <v>12.302406254395077</v>
      </c>
      <c r="K28" s="275">
        <v>12.44593770686585</v>
      </c>
      <c r="L28" s="275">
        <v>11.835900192238851</v>
      </c>
      <c r="M28" s="276">
        <v>11.369720108287101</v>
      </c>
      <c r="O28" s="297" t="s">
        <v>23</v>
      </c>
      <c r="P28" s="284">
        <f t="shared" ref="P28:AA28" si="31">+B31</f>
        <v>11.229716888277114</v>
      </c>
      <c r="Q28" s="284">
        <f t="shared" si="31"/>
        <v>11.549962410311272</v>
      </c>
      <c r="R28" s="284">
        <f t="shared" si="31"/>
        <v>12.295264497684462</v>
      </c>
      <c r="S28" s="284">
        <f t="shared" si="31"/>
        <v>13.002170532953592</v>
      </c>
      <c r="T28" s="284">
        <f t="shared" si="31"/>
        <v>12.266140691705658</v>
      </c>
      <c r="U28" s="284">
        <f t="shared" si="31"/>
        <v>11.724336167360903</v>
      </c>
      <c r="V28" s="284">
        <f t="shared" si="31"/>
        <v>12.406273766947914</v>
      </c>
      <c r="W28" s="284">
        <f t="shared" si="31"/>
        <v>12.209450992423443</v>
      </c>
      <c r="X28" s="284">
        <f t="shared" si="31"/>
        <v>11.714367380462892</v>
      </c>
      <c r="Y28" s="284">
        <f t="shared" si="31"/>
        <v>12.545763773406948</v>
      </c>
      <c r="Z28" s="284">
        <f t="shared" si="31"/>
        <v>12.084485390384923</v>
      </c>
      <c r="AA28" s="284">
        <f t="shared" si="31"/>
        <v>12.953564144060936</v>
      </c>
    </row>
    <row r="29" spans="1:27" x14ac:dyDescent="0.25">
      <c r="A29" s="277" t="s">
        <v>225</v>
      </c>
      <c r="B29" s="278">
        <v>3.8421125951637651</v>
      </c>
      <c r="C29" s="278">
        <v>3.4206909039052604</v>
      </c>
      <c r="D29" s="278">
        <v>4.2756479195757793</v>
      </c>
      <c r="E29" s="278">
        <v>4.3334579610449229</v>
      </c>
      <c r="F29" s="278">
        <v>3.8178724332764418</v>
      </c>
      <c r="G29" s="278">
        <v>4.256313674762394</v>
      </c>
      <c r="H29" s="278">
        <v>4.9988355686315362</v>
      </c>
      <c r="I29" s="278">
        <v>4.862960868541788</v>
      </c>
      <c r="J29" s="278">
        <v>5.1144502831301981</v>
      </c>
      <c r="K29" s="278">
        <v>4.5919607741890429</v>
      </c>
      <c r="L29" s="278">
        <v>5.3188578135626647</v>
      </c>
      <c r="M29" s="279">
        <v>5.3209978565057714</v>
      </c>
      <c r="O29" s="298" t="s">
        <v>24</v>
      </c>
      <c r="P29" s="284">
        <f t="shared" ref="P29:AA29" si="32">+B33</f>
        <v>6.6776513591637654</v>
      </c>
      <c r="Q29" s="284">
        <f t="shared" si="32"/>
        <v>6.6431822759052599</v>
      </c>
      <c r="R29" s="284">
        <f t="shared" si="32"/>
        <v>6.8376409805757792</v>
      </c>
      <c r="S29" s="284">
        <f t="shared" si="32"/>
        <v>6.8888807720449234</v>
      </c>
      <c r="T29" s="284">
        <f t="shared" si="32"/>
        <v>6.4270106672764413</v>
      </c>
      <c r="U29" s="284">
        <f t="shared" si="32"/>
        <v>7.2159835107623929</v>
      </c>
      <c r="V29" s="284">
        <f t="shared" si="32"/>
        <v>7.8870555596315359</v>
      </c>
      <c r="W29" s="284">
        <f t="shared" si="32"/>
        <v>7.5923277275417878</v>
      </c>
      <c r="X29" s="284">
        <f t="shared" si="32"/>
        <v>7.5323228211301974</v>
      </c>
      <c r="Y29" s="284">
        <f t="shared" si="32"/>
        <v>6.6654730311890438</v>
      </c>
      <c r="Z29" s="284">
        <f t="shared" si="32"/>
        <v>6.7956456895626651</v>
      </c>
      <c r="AA29" s="284">
        <f t="shared" si="32"/>
        <v>6.828693324505771</v>
      </c>
    </row>
    <row r="30" spans="1:27" x14ac:dyDescent="0.25">
      <c r="A30" s="280" t="s">
        <v>226</v>
      </c>
      <c r="B30" s="281">
        <v>45.270212483713614</v>
      </c>
      <c r="C30" s="281">
        <v>42.137684651292929</v>
      </c>
      <c r="D30" s="281">
        <v>45.430210949712517</v>
      </c>
      <c r="E30" s="281">
        <v>45.989090513183449</v>
      </c>
      <c r="F30" s="281">
        <v>48.075232895087204</v>
      </c>
      <c r="G30" s="281">
        <v>45.683338972002076</v>
      </c>
      <c r="H30" s="281">
        <v>47.529320417919507</v>
      </c>
      <c r="I30" s="281">
        <v>47.668441551254773</v>
      </c>
      <c r="J30" s="281">
        <v>47.52166429879064</v>
      </c>
      <c r="K30" s="281">
        <v>47.487190452976243</v>
      </c>
      <c r="L30" s="281">
        <v>46.729922482242685</v>
      </c>
      <c r="M30" s="282">
        <v>46.395206535044025</v>
      </c>
      <c r="O30" s="271" t="s">
        <v>229</v>
      </c>
      <c r="P30" s="272">
        <f t="shared" ref="P30:Z30" si="33">+SUM(P31:P33)</f>
        <v>23.373171265000003</v>
      </c>
      <c r="Q30" s="272">
        <f t="shared" si="33"/>
        <v>19.899415513999998</v>
      </c>
      <c r="R30" s="272">
        <f t="shared" si="33"/>
        <v>20.794905965999998</v>
      </c>
      <c r="S30" s="272">
        <f t="shared" si="33"/>
        <v>21.050625474</v>
      </c>
      <c r="T30" s="272">
        <f t="shared" si="33"/>
        <v>22.116168222000002</v>
      </c>
      <c r="U30" s="272">
        <f t="shared" si="33"/>
        <v>20.422922297</v>
      </c>
      <c r="V30" s="272">
        <f t="shared" si="33"/>
        <v>21.240133419999996</v>
      </c>
      <c r="W30" s="272">
        <f t="shared" si="33"/>
        <v>20.346113692000003</v>
      </c>
      <c r="X30" s="272">
        <f t="shared" si="33"/>
        <v>20.283286593000003</v>
      </c>
      <c r="Y30" s="272">
        <f t="shared" si="33"/>
        <v>19.757037619999998</v>
      </c>
      <c r="Z30" s="272">
        <f t="shared" si="33"/>
        <v>19.744466353000007</v>
      </c>
      <c r="AA30" s="272">
        <f t="shared" ref="AA30" si="34">+SUM(AA31:AA33)</f>
        <v>18.5</v>
      </c>
    </row>
    <row r="31" spans="1:27" x14ac:dyDescent="0.25">
      <c r="A31" s="283" t="s">
        <v>223</v>
      </c>
      <c r="B31" s="290">
        <v>11.229716888277114</v>
      </c>
      <c r="C31" s="290">
        <v>11.549962410311272</v>
      </c>
      <c r="D31" s="290">
        <v>12.295264497684462</v>
      </c>
      <c r="E31" s="290">
        <v>13.002170532953592</v>
      </c>
      <c r="F31" s="290">
        <v>12.266140691705658</v>
      </c>
      <c r="G31" s="290">
        <v>11.724336167360903</v>
      </c>
      <c r="H31" s="290">
        <v>12.406273766947914</v>
      </c>
      <c r="I31" s="290">
        <v>12.209450992423443</v>
      </c>
      <c r="J31" s="290">
        <v>11.714367380462892</v>
      </c>
      <c r="K31" s="290">
        <v>12.545763773406948</v>
      </c>
      <c r="L31" s="290">
        <v>12.084485390384923</v>
      </c>
      <c r="M31" s="291">
        <v>12.953564144060936</v>
      </c>
      <c r="O31" s="274" t="s">
        <v>22</v>
      </c>
      <c r="P31" s="275">
        <f t="shared" ref="P31:AA31" si="35">+B36</f>
        <v>19.889443155000002</v>
      </c>
      <c r="Q31" s="275">
        <f t="shared" si="35"/>
        <v>15.91548907</v>
      </c>
      <c r="R31" s="275">
        <f t="shared" si="35"/>
        <v>17.334451422999997</v>
      </c>
      <c r="S31" s="275">
        <f t="shared" si="35"/>
        <v>17.555409575999999</v>
      </c>
      <c r="T31" s="275">
        <f t="shared" si="35"/>
        <v>18.638581898000002</v>
      </c>
      <c r="U31" s="275">
        <f t="shared" si="35"/>
        <v>16.713473712999999</v>
      </c>
      <c r="V31" s="275">
        <f t="shared" si="35"/>
        <v>17.418309860999997</v>
      </c>
      <c r="W31" s="275">
        <f t="shared" si="35"/>
        <v>16.531424234000003</v>
      </c>
      <c r="X31" s="275">
        <f t="shared" si="35"/>
        <v>16.795962412000002</v>
      </c>
      <c r="Y31" s="275">
        <f t="shared" si="35"/>
        <v>16.606520513</v>
      </c>
      <c r="Z31" s="275">
        <f t="shared" si="35"/>
        <v>16.780207505000003</v>
      </c>
      <c r="AA31" s="275">
        <f t="shared" si="35"/>
        <v>16</v>
      </c>
    </row>
    <row r="32" spans="1:27" x14ac:dyDescent="0.25">
      <c r="A32" s="283" t="s">
        <v>224</v>
      </c>
      <c r="B32" s="290">
        <v>27.362844236272732</v>
      </c>
      <c r="C32" s="290">
        <v>23.944539965076395</v>
      </c>
      <c r="D32" s="290">
        <v>26.297305471452276</v>
      </c>
      <c r="E32" s="290">
        <v>26.098039208184939</v>
      </c>
      <c r="F32" s="290">
        <v>29.382081536105101</v>
      </c>
      <c r="G32" s="290">
        <v>26.743019293878781</v>
      </c>
      <c r="H32" s="290">
        <v>27.235991091340061</v>
      </c>
      <c r="I32" s="290">
        <v>27.866662831289542</v>
      </c>
      <c r="J32" s="290">
        <v>28.274974097197546</v>
      </c>
      <c r="K32" s="290">
        <v>28.275953648380252</v>
      </c>
      <c r="L32" s="290">
        <v>27.849791402295093</v>
      </c>
      <c r="M32" s="291">
        <v>26.61294906647732</v>
      </c>
      <c r="O32" s="274" t="s">
        <v>23</v>
      </c>
      <c r="P32" s="275">
        <f t="shared" ref="P32:AA32" si="36">+B35</f>
        <v>0.32875747799999999</v>
      </c>
      <c r="Q32" s="275">
        <f t="shared" si="36"/>
        <v>0.50066498299999995</v>
      </c>
      <c r="R32" s="275">
        <f t="shared" si="36"/>
        <v>0.55248767199999993</v>
      </c>
      <c r="S32" s="275">
        <f t="shared" si="36"/>
        <v>0.50244963099999995</v>
      </c>
      <c r="T32" s="275">
        <f t="shared" si="36"/>
        <v>0.47964443299999993</v>
      </c>
      <c r="U32" s="275">
        <f t="shared" si="36"/>
        <v>0.30599963800000007</v>
      </c>
      <c r="V32" s="275">
        <f t="shared" si="36"/>
        <v>0.36797923799999999</v>
      </c>
      <c r="W32" s="275">
        <f t="shared" si="36"/>
        <v>0.57121927599999989</v>
      </c>
      <c r="X32" s="275">
        <f t="shared" si="36"/>
        <v>0.46855936299999995</v>
      </c>
      <c r="Y32" s="275">
        <f t="shared" si="36"/>
        <v>0.46660786400000004</v>
      </c>
      <c r="Z32" s="275">
        <f t="shared" si="36"/>
        <v>0.57546273200000009</v>
      </c>
      <c r="AA32" s="275">
        <f t="shared" si="36"/>
        <v>0.4</v>
      </c>
    </row>
    <row r="33" spans="1:27" x14ac:dyDescent="0.25">
      <c r="A33" s="283" t="s">
        <v>225</v>
      </c>
      <c r="B33" s="292">
        <v>6.6776513591637654</v>
      </c>
      <c r="C33" s="292">
        <v>6.6431822759052599</v>
      </c>
      <c r="D33" s="292">
        <v>6.8376409805757792</v>
      </c>
      <c r="E33" s="292">
        <v>6.8888807720449234</v>
      </c>
      <c r="F33" s="292">
        <v>6.4270106672764413</v>
      </c>
      <c r="G33" s="292">
        <v>7.2159835107623929</v>
      </c>
      <c r="H33" s="292">
        <v>7.8870555596315359</v>
      </c>
      <c r="I33" s="292">
        <v>7.5923277275417878</v>
      </c>
      <c r="J33" s="292">
        <v>7.5323228211301974</v>
      </c>
      <c r="K33" s="292">
        <v>6.6654730311890438</v>
      </c>
      <c r="L33" s="292">
        <v>6.7956456895626651</v>
      </c>
      <c r="M33" s="293">
        <v>6.828693324505771</v>
      </c>
      <c r="O33" s="277" t="s">
        <v>24</v>
      </c>
      <c r="P33" s="278">
        <f t="shared" ref="P33:AA33" si="37">+B37</f>
        <v>3.1549706320000004</v>
      </c>
      <c r="Q33" s="278">
        <f t="shared" si="37"/>
        <v>3.4832614609999992</v>
      </c>
      <c r="R33" s="278">
        <f t="shared" si="37"/>
        <v>2.9079668709999997</v>
      </c>
      <c r="S33" s="278">
        <f t="shared" si="37"/>
        <v>2.9927662669999999</v>
      </c>
      <c r="T33" s="278">
        <f t="shared" si="37"/>
        <v>2.997941891</v>
      </c>
      <c r="U33" s="278">
        <f t="shared" si="37"/>
        <v>3.4034489459999997</v>
      </c>
      <c r="V33" s="278">
        <f t="shared" si="37"/>
        <v>3.4538443209999996</v>
      </c>
      <c r="W33" s="278">
        <f t="shared" si="37"/>
        <v>3.2434701819999998</v>
      </c>
      <c r="X33" s="278">
        <f t="shared" si="37"/>
        <v>3.0187648180000002</v>
      </c>
      <c r="Y33" s="278">
        <f t="shared" si="37"/>
        <v>2.6839092430000004</v>
      </c>
      <c r="Z33" s="278">
        <f t="shared" si="37"/>
        <v>2.388796116</v>
      </c>
      <c r="AA33" s="278">
        <f t="shared" si="37"/>
        <v>2.1</v>
      </c>
    </row>
    <row r="34" spans="1:27" x14ac:dyDescent="0.25">
      <c r="A34" s="271" t="s">
        <v>229</v>
      </c>
      <c r="B34" s="272">
        <v>23.373171265000003</v>
      </c>
      <c r="C34" s="272">
        <v>19.899415513999998</v>
      </c>
      <c r="D34" s="272">
        <v>20.794905965999998</v>
      </c>
      <c r="E34" s="272">
        <v>21.050625474</v>
      </c>
      <c r="F34" s="272">
        <v>22.116168222000002</v>
      </c>
      <c r="G34" s="272">
        <v>20.422922297</v>
      </c>
      <c r="H34" s="272">
        <v>21.240133419999996</v>
      </c>
      <c r="I34" s="272">
        <v>20.346113692000003</v>
      </c>
      <c r="J34" s="272">
        <v>20.283286593000003</v>
      </c>
      <c r="K34" s="272">
        <v>19.757037619999998</v>
      </c>
      <c r="L34" s="272">
        <v>19.744466353000007</v>
      </c>
      <c r="M34" s="273">
        <v>18.5</v>
      </c>
      <c r="O34" s="280" t="s">
        <v>231</v>
      </c>
      <c r="P34" s="281">
        <f t="shared" ref="P34:Z34" si="38">+SUM(P35:P37)</f>
        <v>1.8892042409999998</v>
      </c>
      <c r="Q34" s="281">
        <f t="shared" si="38"/>
        <v>2.0209191249999998</v>
      </c>
      <c r="R34" s="281">
        <f t="shared" si="38"/>
        <v>1.8297273890000001</v>
      </c>
      <c r="S34" s="281">
        <f t="shared" si="38"/>
        <v>2.0494271319999999</v>
      </c>
      <c r="T34" s="281">
        <f t="shared" si="38"/>
        <v>1.7623755819999998</v>
      </c>
      <c r="U34" s="281">
        <f t="shared" si="38"/>
        <v>1.744740953</v>
      </c>
      <c r="V34" s="281">
        <f t="shared" si="38"/>
        <v>1.8251631599999998</v>
      </c>
      <c r="W34" s="281">
        <f t="shared" si="38"/>
        <v>1.7099317380000003</v>
      </c>
      <c r="X34" s="281">
        <f t="shared" si="38"/>
        <v>2.043822295</v>
      </c>
      <c r="Y34" s="281">
        <f t="shared" si="38"/>
        <v>2.1350285219999998</v>
      </c>
      <c r="Z34" s="281">
        <f t="shared" si="38"/>
        <v>2.3819851179999993</v>
      </c>
      <c r="AA34" s="281">
        <f t="shared" ref="AA34" si="39">+SUM(AA35:AA37)</f>
        <v>1.9659122703333334</v>
      </c>
    </row>
    <row r="35" spans="1:27" x14ac:dyDescent="0.25">
      <c r="A35" s="274" t="s">
        <v>223</v>
      </c>
      <c r="B35" s="275">
        <v>0.32875747799999999</v>
      </c>
      <c r="C35" s="275">
        <v>0.50066498299999995</v>
      </c>
      <c r="D35" s="275">
        <v>0.55248767199999993</v>
      </c>
      <c r="E35" s="275">
        <v>0.50244963099999995</v>
      </c>
      <c r="F35" s="275">
        <v>0.47964443299999993</v>
      </c>
      <c r="G35" s="275">
        <v>0.30599963800000007</v>
      </c>
      <c r="H35" s="275">
        <v>0.36797923799999999</v>
      </c>
      <c r="I35" s="275">
        <v>0.57121927599999989</v>
      </c>
      <c r="J35" s="275">
        <v>0.46855936299999995</v>
      </c>
      <c r="K35" s="275">
        <v>0.46660786400000004</v>
      </c>
      <c r="L35" s="275">
        <v>0.57546273200000009</v>
      </c>
      <c r="M35" s="276">
        <v>0.4</v>
      </c>
      <c r="O35" s="297" t="s">
        <v>22</v>
      </c>
      <c r="P35" s="284">
        <f t="shared" ref="P35:AA35" si="40">+B40</f>
        <v>1.164454095</v>
      </c>
      <c r="Q35" s="284">
        <f t="shared" si="40"/>
        <v>1.253416632</v>
      </c>
      <c r="R35" s="284">
        <f t="shared" si="40"/>
        <v>0.9866388479999999</v>
      </c>
      <c r="S35" s="284">
        <f t="shared" si="40"/>
        <v>1.0543517039999999</v>
      </c>
      <c r="T35" s="284">
        <f t="shared" si="40"/>
        <v>0.75941858399999995</v>
      </c>
      <c r="U35" s="284">
        <f t="shared" si="40"/>
        <v>0.68585266</v>
      </c>
      <c r="V35" s="284">
        <f t="shared" si="40"/>
        <v>0.72749225899999981</v>
      </c>
      <c r="W35" s="284">
        <f t="shared" si="40"/>
        <v>0.69040930900000008</v>
      </c>
      <c r="X35" s="284">
        <f t="shared" si="40"/>
        <v>0.82586370499999995</v>
      </c>
      <c r="Y35" s="284">
        <f t="shared" si="40"/>
        <v>0.77424119699999994</v>
      </c>
      <c r="Z35" s="284">
        <f t="shared" si="40"/>
        <v>0.76700216599999982</v>
      </c>
      <c r="AA35" s="284">
        <f t="shared" si="40"/>
        <v>0.75624520733333311</v>
      </c>
    </row>
    <row r="36" spans="1:27" x14ac:dyDescent="0.25">
      <c r="A36" s="274" t="s">
        <v>224</v>
      </c>
      <c r="B36" s="275">
        <v>19.889443155000002</v>
      </c>
      <c r="C36" s="275">
        <v>15.91548907</v>
      </c>
      <c r="D36" s="275">
        <v>17.334451422999997</v>
      </c>
      <c r="E36" s="275">
        <v>17.555409575999999</v>
      </c>
      <c r="F36" s="275">
        <v>18.638581898000002</v>
      </c>
      <c r="G36" s="275">
        <v>16.713473712999999</v>
      </c>
      <c r="H36" s="275">
        <v>17.418309860999997</v>
      </c>
      <c r="I36" s="275">
        <v>16.531424234000003</v>
      </c>
      <c r="J36" s="275">
        <v>16.795962412000002</v>
      </c>
      <c r="K36" s="275">
        <v>16.606520513</v>
      </c>
      <c r="L36" s="275">
        <v>16.780207505000003</v>
      </c>
      <c r="M36" s="276">
        <v>16</v>
      </c>
      <c r="O36" s="297" t="s">
        <v>23</v>
      </c>
      <c r="P36" s="284">
        <f t="shared" ref="P36:AA36" si="41">+B39</f>
        <v>0.40531827799999998</v>
      </c>
      <c r="Q36" s="284">
        <f t="shared" si="41"/>
        <v>0.50673240399999997</v>
      </c>
      <c r="R36" s="284">
        <f t="shared" si="41"/>
        <v>0.49711473100000003</v>
      </c>
      <c r="S36" s="284">
        <f t="shared" si="41"/>
        <v>0.55773197200000002</v>
      </c>
      <c r="T36" s="284">
        <f t="shared" si="41"/>
        <v>0.61415334099999985</v>
      </c>
      <c r="U36" s="284">
        <f t="shared" si="41"/>
        <v>0.61510918299999995</v>
      </c>
      <c r="V36" s="284">
        <f t="shared" si="41"/>
        <v>0.53204657099999997</v>
      </c>
      <c r="W36" s="284">
        <f t="shared" si="41"/>
        <v>0.50541910600000006</v>
      </c>
      <c r="X36" s="284">
        <f t="shared" si="41"/>
        <v>0.61706631000000001</v>
      </c>
      <c r="Y36" s="284">
        <f t="shared" si="41"/>
        <v>0.75039033900000007</v>
      </c>
      <c r="Z36" s="284">
        <f t="shared" si="41"/>
        <v>0.70297471199999995</v>
      </c>
      <c r="AA36" s="284">
        <f t="shared" si="41"/>
        <v>0.61736253100000005</v>
      </c>
    </row>
    <row r="37" spans="1:27" x14ac:dyDescent="0.25">
      <c r="A37" s="277" t="s">
        <v>225</v>
      </c>
      <c r="B37" s="278">
        <v>3.1549706320000004</v>
      </c>
      <c r="C37" s="278">
        <v>3.4832614609999992</v>
      </c>
      <c r="D37" s="278">
        <v>2.9079668709999997</v>
      </c>
      <c r="E37" s="278">
        <v>2.9927662669999999</v>
      </c>
      <c r="F37" s="278">
        <v>2.997941891</v>
      </c>
      <c r="G37" s="278">
        <v>3.4034489459999997</v>
      </c>
      <c r="H37" s="278">
        <v>3.4538443209999996</v>
      </c>
      <c r="I37" s="278">
        <v>3.2434701819999998</v>
      </c>
      <c r="J37" s="278">
        <v>3.0187648180000002</v>
      </c>
      <c r="K37" s="278">
        <v>2.6839092430000004</v>
      </c>
      <c r="L37" s="278">
        <v>2.388796116</v>
      </c>
      <c r="M37" s="279">
        <v>2.1</v>
      </c>
      <c r="O37" s="298" t="s">
        <v>24</v>
      </c>
      <c r="P37" s="284">
        <f t="shared" ref="P37:AA37" si="42">+B41</f>
        <v>0.31943186800000001</v>
      </c>
      <c r="Q37" s="284">
        <f t="shared" si="42"/>
        <v>0.26077008899999998</v>
      </c>
      <c r="R37" s="284">
        <f t="shared" si="42"/>
        <v>0.34597381000000005</v>
      </c>
      <c r="S37" s="284">
        <f t="shared" si="42"/>
        <v>0.43734345600000002</v>
      </c>
      <c r="T37" s="284">
        <f t="shared" si="42"/>
        <v>0.38880365700000002</v>
      </c>
      <c r="U37" s="284">
        <f t="shared" si="42"/>
        <v>0.44377910999999998</v>
      </c>
      <c r="V37" s="284">
        <f t="shared" si="42"/>
        <v>0.56562433000000001</v>
      </c>
      <c r="W37" s="284">
        <f t="shared" si="42"/>
        <v>0.51410332300000006</v>
      </c>
      <c r="X37" s="284">
        <f t="shared" si="42"/>
        <v>0.60089228000000006</v>
      </c>
      <c r="Y37" s="284">
        <f t="shared" si="42"/>
        <v>0.61039698599999992</v>
      </c>
      <c r="Z37" s="284">
        <f t="shared" si="42"/>
        <v>0.9120082399999998</v>
      </c>
      <c r="AA37" s="284">
        <f t="shared" si="42"/>
        <v>0.59230453200000011</v>
      </c>
    </row>
    <row r="38" spans="1:27" x14ac:dyDescent="0.25">
      <c r="A38" s="280" t="s">
        <v>231</v>
      </c>
      <c r="B38" s="281">
        <v>1.8892042409999998</v>
      </c>
      <c r="C38" s="281">
        <v>2.0209191249999998</v>
      </c>
      <c r="D38" s="281">
        <v>1.8297273890000001</v>
      </c>
      <c r="E38" s="281">
        <v>2.0494271319999999</v>
      </c>
      <c r="F38" s="281">
        <v>1.7623755819999998</v>
      </c>
      <c r="G38" s="281">
        <v>1.744740953</v>
      </c>
      <c r="H38" s="281">
        <v>1.8251631599999998</v>
      </c>
      <c r="I38" s="281">
        <v>1.7099317380000003</v>
      </c>
      <c r="J38" s="281">
        <v>2.043822295</v>
      </c>
      <c r="K38" s="281">
        <v>2.1350285219999998</v>
      </c>
      <c r="L38" s="281">
        <v>2.3819851179999993</v>
      </c>
      <c r="M38" s="282">
        <v>1.9659122703333334</v>
      </c>
      <c r="O38" s="299"/>
      <c r="P38" s="299"/>
      <c r="Q38" s="299"/>
      <c r="R38" s="299"/>
      <c r="S38" s="299"/>
      <c r="T38" s="299"/>
      <c r="U38" s="299"/>
      <c r="V38" s="299"/>
      <c r="W38" s="299"/>
      <c r="X38" s="299"/>
      <c r="Y38" s="299"/>
      <c r="Z38" s="299"/>
      <c r="AA38" s="299"/>
    </row>
    <row r="39" spans="1:27" x14ac:dyDescent="0.25">
      <c r="A39" s="283" t="s">
        <v>223</v>
      </c>
      <c r="B39" s="290">
        <v>0.40531827799999998</v>
      </c>
      <c r="C39" s="290">
        <v>0.50673240399999997</v>
      </c>
      <c r="D39" s="290">
        <v>0.49711473100000003</v>
      </c>
      <c r="E39" s="290">
        <v>0.55773197200000002</v>
      </c>
      <c r="F39" s="290">
        <v>0.61415334099999985</v>
      </c>
      <c r="G39" s="290">
        <v>0.61510918299999995</v>
      </c>
      <c r="H39" s="290">
        <v>0.53204657099999997</v>
      </c>
      <c r="I39" s="290">
        <v>0.50541910600000006</v>
      </c>
      <c r="J39" s="290">
        <v>0.61706631000000001</v>
      </c>
      <c r="K39" s="290">
        <v>0.75039033900000007</v>
      </c>
      <c r="L39" s="290">
        <v>0.70297471199999995</v>
      </c>
      <c r="M39" s="291">
        <v>0.61736253100000005</v>
      </c>
      <c r="O39" s="294" t="s">
        <v>233</v>
      </c>
      <c r="P39" s="272"/>
      <c r="Q39" s="272"/>
      <c r="R39" s="272"/>
      <c r="S39" s="272"/>
      <c r="T39" s="272"/>
      <c r="U39" s="272"/>
      <c r="V39" s="272"/>
      <c r="W39" s="272"/>
      <c r="X39" s="272"/>
      <c r="Y39" s="272"/>
      <c r="Z39" s="272"/>
      <c r="AA39" s="272"/>
    </row>
    <row r="40" spans="1:27" x14ac:dyDescent="0.25">
      <c r="A40" s="283" t="s">
        <v>224</v>
      </c>
      <c r="B40" s="290">
        <v>1.164454095</v>
      </c>
      <c r="C40" s="290">
        <v>1.253416632</v>
      </c>
      <c r="D40" s="290">
        <v>0.9866388479999999</v>
      </c>
      <c r="E40" s="290">
        <v>1.0543517039999999</v>
      </c>
      <c r="F40" s="290">
        <v>0.75941858399999995</v>
      </c>
      <c r="G40" s="290">
        <v>0.68585266</v>
      </c>
      <c r="H40" s="290">
        <v>0.72749225899999981</v>
      </c>
      <c r="I40" s="290">
        <v>0.69040930900000008</v>
      </c>
      <c r="J40" s="290">
        <v>0.82586370499999995</v>
      </c>
      <c r="K40" s="290">
        <v>0.77424119699999994</v>
      </c>
      <c r="L40" s="290">
        <v>0.76700216599999982</v>
      </c>
      <c r="M40" s="291">
        <v>0.75624520733333311</v>
      </c>
      <c r="O40" s="274" t="str">
        <f>+O27</f>
        <v>Soya beans</v>
      </c>
      <c r="P40" s="275">
        <f t="shared" ref="P40:V40" si="43">+B45</f>
        <v>0.89112816467044398</v>
      </c>
      <c r="Q40" s="275">
        <f t="shared" si="43"/>
        <v>0.89784799782075719</v>
      </c>
      <c r="R40" s="275">
        <f t="shared" si="43"/>
        <v>0.89872219592995739</v>
      </c>
      <c r="S40" s="275">
        <f t="shared" si="43"/>
        <v>0.89305225271547017</v>
      </c>
      <c r="T40" s="275">
        <f t="shared" si="43"/>
        <v>0.89149768765563853</v>
      </c>
      <c r="U40" s="275">
        <f t="shared" si="43"/>
        <v>0.88413793103448279</v>
      </c>
      <c r="V40" s="275">
        <f t="shared" si="43"/>
        <v>0.87902478573083165</v>
      </c>
      <c r="W40" s="275">
        <f>+IF(I45=0,V40,I45)</f>
        <v>0.88470973017170895</v>
      </c>
      <c r="X40" s="275">
        <f>+IF(J45=0,W40,J45)</f>
        <v>0.87872581253705595</v>
      </c>
      <c r="Y40" s="275">
        <f>+IF(K45=0,X40,K45)</f>
        <v>0.88262414897900776</v>
      </c>
      <c r="Z40" s="275">
        <f>+IF(L45=0,Y40,L45)</f>
        <v>0.88192895524810744</v>
      </c>
      <c r="AA40" s="275">
        <f>+IF(M45=0,Z40,M45)</f>
        <v>0.88119262998598213</v>
      </c>
    </row>
    <row r="41" spans="1:27" x14ac:dyDescent="0.25">
      <c r="A41" s="283" t="s">
        <v>225</v>
      </c>
      <c r="B41" s="292">
        <v>0.31943186800000001</v>
      </c>
      <c r="C41" s="292">
        <v>0.26077008899999998</v>
      </c>
      <c r="D41" s="292">
        <v>0.34597381000000005</v>
      </c>
      <c r="E41" s="292">
        <v>0.43734345600000002</v>
      </c>
      <c r="F41" s="292">
        <v>0.38880365700000002</v>
      </c>
      <c r="G41" s="292">
        <v>0.44377910999999998</v>
      </c>
      <c r="H41" s="292">
        <v>0.56562433000000001</v>
      </c>
      <c r="I41" s="292">
        <v>0.51410332300000006</v>
      </c>
      <c r="J41" s="292">
        <v>0.60089228000000006</v>
      </c>
      <c r="K41" s="292">
        <v>0.61039698599999992</v>
      </c>
      <c r="L41" s="292">
        <v>0.9120082399999998</v>
      </c>
      <c r="M41" s="293">
        <v>0.59230453200000011</v>
      </c>
      <c r="O41" s="274" t="str">
        <f>+O28</f>
        <v>Rapeseed</v>
      </c>
      <c r="P41" s="275">
        <f t="shared" ref="P41:V41" si="44">+B44</f>
        <v>0.95496129486277259</v>
      </c>
      <c r="Q41" s="275">
        <f t="shared" si="44"/>
        <v>0.96105761108295318</v>
      </c>
      <c r="R41" s="275">
        <f t="shared" si="44"/>
        <v>0.96948755253798913</v>
      </c>
      <c r="S41" s="275">
        <f t="shared" si="44"/>
        <v>0.96578917292087307</v>
      </c>
      <c r="T41" s="275">
        <f t="shared" si="44"/>
        <v>0.96564870338747466</v>
      </c>
      <c r="U41" s="275">
        <f t="shared" si="44"/>
        <v>0.96594551282051266</v>
      </c>
      <c r="V41" s="275">
        <f t="shared" si="44"/>
        <v>0.96427137695704535</v>
      </c>
      <c r="W41" s="275">
        <f>+IF(I44=0,V41,I44)</f>
        <v>0.96413105645886099</v>
      </c>
      <c r="X41" s="275">
        <f>+IF(J44=0,W41,J44)</f>
        <v>0.96698013747733313</v>
      </c>
      <c r="Y41" s="275">
        <f>+IF(K44=0,X41,K44)</f>
        <v>0.965288531055011</v>
      </c>
      <c r="Z41" s="275">
        <f>+IF(L44=0,Y41,L44)</f>
        <v>0.96516847361085623</v>
      </c>
      <c r="AA41" s="275">
        <f>+IF(M44=0,Z41,M44)</f>
        <v>0.96490946054097115</v>
      </c>
    </row>
    <row r="42" spans="1:27" x14ac:dyDescent="0.25">
      <c r="A42" s="271"/>
      <c r="B42" s="272"/>
      <c r="C42" s="272"/>
      <c r="D42" s="272"/>
      <c r="E42" s="272"/>
      <c r="F42" s="272"/>
      <c r="G42" s="272"/>
      <c r="H42" s="272"/>
      <c r="I42" s="272"/>
      <c r="J42" s="272"/>
      <c r="K42" s="272"/>
      <c r="L42" s="272"/>
      <c r="M42" s="273"/>
      <c r="O42" s="274" t="str">
        <f>+O29</f>
        <v>Sunflowerseed</v>
      </c>
      <c r="P42" s="278">
        <f t="shared" ref="P42:V42" si="45">+B46</f>
        <v>0.88220968982312231</v>
      </c>
      <c r="Q42" s="278">
        <f t="shared" si="45"/>
        <v>0.86632169038378615</v>
      </c>
      <c r="R42" s="278">
        <f t="shared" si="45"/>
        <v>0.88677285318559562</v>
      </c>
      <c r="S42" s="278">
        <f t="shared" si="45"/>
        <v>0.88220289855072465</v>
      </c>
      <c r="T42" s="278">
        <f t="shared" si="45"/>
        <v>0.86804840370751801</v>
      </c>
      <c r="U42" s="278">
        <f t="shared" si="45"/>
        <v>0.88068376068376064</v>
      </c>
      <c r="V42" s="278">
        <f t="shared" si="45"/>
        <v>0.88972040328448188</v>
      </c>
      <c r="W42" s="278">
        <f>+IF(I46=0,V42,I46)</f>
        <v>0.88939331407346267</v>
      </c>
      <c r="X42" s="278">
        <f>+IF(J46=0,W42,J46)</f>
        <v>0.88118811881188119</v>
      </c>
      <c r="Y42" s="278">
        <f>+IF(K46=0,X42,K46)</f>
        <v>0.88375506452303476</v>
      </c>
      <c r="Z42" s="278">
        <f>+IF(L46=0,Y42,L46)</f>
        <v>0.88477883246945943</v>
      </c>
      <c r="AA42" s="278">
        <f>+IF(M46=0,Z42,M46)</f>
        <v>0.88597573702198551</v>
      </c>
    </row>
    <row r="43" spans="1:27" x14ac:dyDescent="0.25">
      <c r="A43" s="294" t="s">
        <v>233</v>
      </c>
      <c r="B43" s="275"/>
      <c r="C43" s="275"/>
      <c r="D43" s="275"/>
      <c r="E43" s="275"/>
      <c r="F43" s="275"/>
      <c r="G43" s="275"/>
      <c r="H43" s="275"/>
      <c r="I43" s="275"/>
      <c r="J43" s="275"/>
      <c r="K43" s="275"/>
      <c r="L43" s="275"/>
      <c r="M43" s="276"/>
    </row>
    <row r="44" spans="1:27" x14ac:dyDescent="0.25">
      <c r="A44" s="274" t="str">
        <f>+A31</f>
        <v xml:space="preserve">  Rape</v>
      </c>
      <c r="B44" s="275">
        <v>0.95496129486277259</v>
      </c>
      <c r="C44" s="275">
        <v>0.96105761108295318</v>
      </c>
      <c r="D44" s="275">
        <v>0.96948755253798913</v>
      </c>
      <c r="E44" s="275">
        <v>0.96578917292087307</v>
      </c>
      <c r="F44" s="275">
        <v>0.96564870338747466</v>
      </c>
      <c r="G44" s="275">
        <v>0.96594551282051266</v>
      </c>
      <c r="H44" s="275">
        <v>0.96427137695704535</v>
      </c>
      <c r="I44" s="275">
        <v>0.96413105645886099</v>
      </c>
      <c r="J44" s="275">
        <v>0.96698013747733313</v>
      </c>
      <c r="K44" s="275">
        <v>0.965288531055011</v>
      </c>
      <c r="L44" s="275">
        <v>0.96516847361085623</v>
      </c>
      <c r="M44" s="276">
        <v>0.96490946054097115</v>
      </c>
    </row>
    <row r="45" spans="1:27" x14ac:dyDescent="0.25">
      <c r="A45" s="274" t="str">
        <f>+A32</f>
        <v xml:space="preserve">  Soybean</v>
      </c>
      <c r="B45" s="278">
        <v>0.89112816467044398</v>
      </c>
      <c r="C45" s="278">
        <v>0.89784799782075719</v>
      </c>
      <c r="D45" s="278">
        <v>0.89872219592995739</v>
      </c>
      <c r="E45" s="278">
        <v>0.89305225271547017</v>
      </c>
      <c r="F45" s="278">
        <v>0.89149768765563853</v>
      </c>
      <c r="G45" s="278">
        <v>0.88413793103448279</v>
      </c>
      <c r="H45" s="278">
        <v>0.87902478573083165</v>
      </c>
      <c r="I45" s="278">
        <v>0.88470973017170895</v>
      </c>
      <c r="J45" s="278">
        <v>0.87872581253705595</v>
      </c>
      <c r="K45" s="278">
        <v>0.88262414897900776</v>
      </c>
      <c r="L45" s="278">
        <v>0.88192895524810744</v>
      </c>
      <c r="M45" s="279">
        <v>0.88119262998598213</v>
      </c>
    </row>
    <row r="46" spans="1:27" x14ac:dyDescent="0.25">
      <c r="A46" s="274" t="str">
        <f>+A33</f>
        <v xml:space="preserve">  Sunflower</v>
      </c>
      <c r="B46" s="295">
        <v>0.88220968982312231</v>
      </c>
      <c r="C46" s="295">
        <v>0.86632169038378615</v>
      </c>
      <c r="D46" s="295">
        <v>0.88677285318559562</v>
      </c>
      <c r="E46" s="295">
        <v>0.88220289855072465</v>
      </c>
      <c r="F46" s="295">
        <v>0.86804840370751801</v>
      </c>
      <c r="G46" s="295">
        <v>0.88068376068376064</v>
      </c>
      <c r="H46" s="295">
        <v>0.88972040328448188</v>
      </c>
      <c r="I46" s="295">
        <v>0.88939331407346267</v>
      </c>
      <c r="J46" s="295">
        <v>0.88118811881188119</v>
      </c>
      <c r="K46" s="295">
        <v>0.88375506452303476</v>
      </c>
      <c r="L46" s="295">
        <v>0.88477883246945943</v>
      </c>
      <c r="M46" s="296">
        <v>0.88597573702198551</v>
      </c>
    </row>
    <row r="49" spans="1:13" x14ac:dyDescent="0.25">
      <c r="A49" s="136"/>
    </row>
    <row r="51" spans="1:13" x14ac:dyDescent="0.25">
      <c r="C51" s="7"/>
      <c r="D51" s="7"/>
      <c r="E51" s="7"/>
      <c r="F51" s="7"/>
      <c r="G51" s="7"/>
      <c r="H51" s="7"/>
      <c r="I51" s="7"/>
      <c r="J51" s="7"/>
      <c r="K51" s="7"/>
      <c r="L51" s="7"/>
      <c r="M51" s="7"/>
    </row>
    <row r="52" spans="1:13" x14ac:dyDescent="0.25">
      <c r="C52" s="7"/>
      <c r="D52" s="7"/>
      <c r="E52" s="7"/>
      <c r="F52" s="7"/>
      <c r="G52" s="7"/>
      <c r="H52" s="7"/>
      <c r="I52" s="7"/>
      <c r="J52" s="7"/>
      <c r="K52" s="7"/>
      <c r="L52" s="7"/>
      <c r="M52" s="7"/>
    </row>
    <row r="53" spans="1:13" x14ac:dyDescent="0.25">
      <c r="C53" s="7"/>
      <c r="D53" s="7"/>
      <c r="E53" s="7"/>
      <c r="F53" s="7"/>
      <c r="G53" s="7"/>
      <c r="H53" s="7"/>
      <c r="I53" s="7"/>
      <c r="J53" s="7"/>
      <c r="K53" s="7"/>
      <c r="L53" s="7"/>
      <c r="M53" s="7"/>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DV72"/>
  <sheetViews>
    <sheetView workbookViewId="0"/>
  </sheetViews>
  <sheetFormatPr defaultRowHeight="15" x14ac:dyDescent="0.25"/>
  <cols>
    <col min="1" max="1" width="18.85546875" bestFit="1" customWidth="1"/>
    <col min="2" max="2" width="8.28515625" bestFit="1" customWidth="1"/>
    <col min="3" max="3" width="8" bestFit="1" customWidth="1"/>
    <col min="4" max="4" width="8.42578125" customWidth="1"/>
    <col min="5" max="5" width="9.42578125" customWidth="1"/>
    <col min="6" max="6" width="7.85546875" customWidth="1"/>
    <col min="7" max="7" width="10.140625" bestFit="1" customWidth="1"/>
    <col min="8" max="8" width="12" bestFit="1" customWidth="1"/>
    <col min="9" max="9" width="10.42578125" customWidth="1"/>
    <col min="10" max="10" width="7.85546875" customWidth="1"/>
    <col min="11" max="11" width="9.28515625" customWidth="1"/>
    <col min="12" max="12" width="8.28515625" bestFit="1" customWidth="1"/>
    <col min="13" max="13" width="12" style="7" bestFit="1" customWidth="1"/>
    <col min="14" max="15" width="11.85546875" bestFit="1" customWidth="1"/>
    <col min="16" max="16" width="13.5703125" bestFit="1" customWidth="1"/>
    <col min="17" max="17" width="18.85546875" bestFit="1" customWidth="1"/>
    <col min="18" max="18" width="13.140625" bestFit="1" customWidth="1"/>
    <col min="19" max="19" width="11.85546875" bestFit="1" customWidth="1"/>
    <col min="20" max="20" width="18.42578125" bestFit="1" customWidth="1"/>
    <col min="21" max="21" width="13.85546875" bestFit="1" customWidth="1"/>
    <col min="22" max="22" width="11.85546875" bestFit="1" customWidth="1"/>
    <col min="23" max="23" width="9.5703125" bestFit="1" customWidth="1"/>
    <col min="24" max="24" width="11.85546875" bestFit="1" customWidth="1"/>
    <col min="25" max="25" width="17.7109375" bestFit="1" customWidth="1"/>
    <col min="26" max="26" width="14.85546875" bestFit="1" customWidth="1"/>
    <col min="27" max="27" width="20.42578125" bestFit="1" customWidth="1"/>
    <col min="28" max="28" width="19.42578125" bestFit="1" customWidth="1"/>
    <col min="29" max="29" width="11.85546875" bestFit="1" customWidth="1"/>
    <col min="30" max="30" width="14.5703125" bestFit="1" customWidth="1"/>
    <col min="31" max="31" width="19.7109375" bestFit="1" customWidth="1"/>
    <col min="32" max="32" width="37.140625" bestFit="1" customWidth="1"/>
    <col min="33" max="33" width="9" bestFit="1" customWidth="1"/>
    <col min="34" max="34" width="18.85546875" bestFit="1" customWidth="1"/>
    <col min="35" max="36" width="7.85546875" bestFit="1" customWidth="1"/>
    <col min="37" max="37" width="9" bestFit="1" customWidth="1"/>
    <col min="38" max="38" width="14.28515625" bestFit="1" customWidth="1"/>
    <col min="39" max="39" width="11.85546875" bestFit="1" customWidth="1"/>
    <col min="40" max="40" width="10" bestFit="1" customWidth="1"/>
    <col min="41" max="41" width="11.85546875" bestFit="1" customWidth="1"/>
    <col min="42" max="42" width="15.7109375" bestFit="1" customWidth="1"/>
    <col min="43" max="43" width="11.85546875" bestFit="1" customWidth="1"/>
    <col min="44" max="44" width="20.85546875" bestFit="1" customWidth="1"/>
    <col min="45" max="45" width="4.42578125" bestFit="1" customWidth="1"/>
    <col min="46" max="48" width="11.85546875" bestFit="1" customWidth="1"/>
    <col min="49" max="49" width="13.5703125" bestFit="1" customWidth="1"/>
    <col min="50" max="50" width="18.85546875" bestFit="1" customWidth="1"/>
    <col min="51" max="51" width="13.140625" bestFit="1" customWidth="1"/>
    <col min="52" max="52" width="11.85546875" bestFit="1" customWidth="1"/>
    <col min="53" max="53" width="18.42578125" bestFit="1" customWidth="1"/>
    <col min="54" max="54" width="13.85546875" bestFit="1" customWidth="1"/>
    <col min="55" max="55" width="11.85546875" bestFit="1" customWidth="1"/>
    <col min="56" max="56" width="9.5703125" bestFit="1" customWidth="1"/>
    <col min="57" max="57" width="11.85546875" bestFit="1" customWidth="1"/>
    <col min="58" max="58" width="17.7109375" bestFit="1" customWidth="1"/>
    <col min="59" max="59" width="14.85546875" bestFit="1" customWidth="1"/>
    <col min="60" max="60" width="20.42578125" bestFit="1" customWidth="1"/>
    <col min="61" max="61" width="19.42578125" bestFit="1" customWidth="1"/>
    <col min="62" max="62" width="11.85546875" bestFit="1" customWidth="1"/>
    <col min="63" max="63" width="14.5703125" bestFit="1" customWidth="1"/>
    <col min="64" max="64" width="19.7109375" bestFit="1" customWidth="1"/>
    <col min="65" max="65" width="37.140625" bestFit="1" customWidth="1"/>
    <col min="66" max="66" width="9" bestFit="1" customWidth="1"/>
    <col min="67" max="67" width="18.85546875" bestFit="1" customWidth="1"/>
    <col min="68" max="69" width="7.85546875" bestFit="1" customWidth="1"/>
    <col min="70" max="70" width="14.28515625" bestFit="1" customWidth="1"/>
    <col min="71" max="71" width="11.85546875" bestFit="1" customWidth="1"/>
    <col min="72" max="72" width="10" bestFit="1" customWidth="1"/>
    <col min="73" max="73" width="11.85546875" bestFit="1" customWidth="1"/>
    <col min="74" max="74" width="15.7109375" bestFit="1" customWidth="1"/>
    <col min="75" max="75" width="11.85546875" bestFit="1" customWidth="1"/>
    <col min="76" max="76" width="20.85546875" bestFit="1" customWidth="1"/>
    <col min="77" max="77" width="4.42578125" bestFit="1" customWidth="1"/>
    <col min="78" max="80" width="11.85546875" bestFit="1" customWidth="1"/>
    <col min="81" max="81" width="13.5703125" bestFit="1" customWidth="1"/>
    <col min="82" max="82" width="18.85546875" bestFit="1" customWidth="1"/>
    <col min="83" max="83" width="13.140625" bestFit="1" customWidth="1"/>
    <col min="84" max="84" width="11.85546875" bestFit="1" customWidth="1"/>
    <col min="85" max="85" width="18.42578125" bestFit="1" customWidth="1"/>
    <col min="86" max="86" width="13.85546875" bestFit="1" customWidth="1"/>
    <col min="87" max="87" width="11.85546875" bestFit="1" customWidth="1"/>
    <col min="88" max="88" width="9.5703125" bestFit="1" customWidth="1"/>
    <col min="89" max="89" width="11.85546875" bestFit="1" customWidth="1"/>
    <col min="90" max="90" width="17.7109375" bestFit="1" customWidth="1"/>
    <col min="91" max="91" width="14.85546875" bestFit="1" customWidth="1"/>
    <col min="92" max="92" width="20.42578125" bestFit="1" customWidth="1"/>
    <col min="93" max="93" width="19.42578125" bestFit="1" customWidth="1"/>
    <col min="94" max="94" width="11.85546875" bestFit="1" customWidth="1"/>
    <col min="95" max="95" width="14.5703125" bestFit="1" customWidth="1"/>
    <col min="96" max="96" width="19.7109375" bestFit="1" customWidth="1"/>
    <col min="97" max="97" width="37.140625" bestFit="1" customWidth="1"/>
    <col min="98" max="98" width="9" bestFit="1" customWidth="1"/>
    <col min="99" max="99" width="32.140625" bestFit="1" customWidth="1"/>
    <col min="100" max="101" width="7.85546875" bestFit="1" customWidth="1"/>
    <col min="102" max="102" width="14.28515625" bestFit="1" customWidth="1"/>
    <col min="103" max="103" width="11.85546875" bestFit="1" customWidth="1"/>
    <col min="104" max="104" width="10" bestFit="1" customWidth="1"/>
    <col min="105" max="105" width="11.85546875" bestFit="1" customWidth="1"/>
    <col min="106" max="106" width="15.7109375" bestFit="1" customWidth="1"/>
    <col min="107" max="107" width="11.85546875" bestFit="1" customWidth="1"/>
    <col min="108" max="108" width="20.85546875" bestFit="1" customWidth="1"/>
    <col min="109" max="109" width="4.42578125" bestFit="1" customWidth="1"/>
    <col min="110" max="112" width="11.85546875" bestFit="1" customWidth="1"/>
    <col min="113" max="113" width="13.5703125" bestFit="1" customWidth="1"/>
    <col min="114" max="114" width="18.85546875" bestFit="1" customWidth="1"/>
    <col min="115" max="115" width="13.140625" bestFit="1" customWidth="1"/>
    <col min="116" max="116" width="11.85546875" bestFit="1" customWidth="1"/>
    <col min="117" max="117" width="18.42578125" bestFit="1" customWidth="1"/>
    <col min="118" max="118" width="13.85546875" bestFit="1" customWidth="1"/>
    <col min="119" max="119" width="11.85546875" bestFit="1" customWidth="1"/>
    <col min="120" max="120" width="10.140625" bestFit="1" customWidth="1"/>
    <col min="121" max="121" width="11.85546875" bestFit="1" customWidth="1"/>
    <col min="122" max="122" width="17.7109375" bestFit="1" customWidth="1"/>
    <col min="123" max="123" width="14.85546875" bestFit="1" customWidth="1"/>
    <col min="124" max="124" width="20.42578125" bestFit="1" customWidth="1"/>
    <col min="125" max="125" width="19.42578125" bestFit="1" customWidth="1"/>
    <col min="126" max="126" width="11.85546875" bestFit="1" customWidth="1"/>
    <col min="127" max="127" width="14.5703125" bestFit="1" customWidth="1"/>
    <col min="128" max="128" width="19.7109375" bestFit="1" customWidth="1"/>
    <col min="129" max="129" width="37.140625" bestFit="1" customWidth="1"/>
    <col min="130" max="130" width="11.85546875" bestFit="1" customWidth="1"/>
    <col min="131" max="131" width="15.140625" bestFit="1" customWidth="1"/>
    <col min="132" max="132" width="12" bestFit="1" customWidth="1"/>
    <col min="133" max="133" width="11.85546875" bestFit="1" customWidth="1"/>
    <col min="134" max="134" width="32.140625" bestFit="1" customWidth="1"/>
    <col min="135" max="136" width="7.85546875" bestFit="1" customWidth="1"/>
    <col min="137" max="137" width="25.42578125" bestFit="1" customWidth="1"/>
    <col min="138" max="138" width="11.85546875" bestFit="1" customWidth="1"/>
    <col min="139" max="139" width="10" bestFit="1" customWidth="1"/>
    <col min="140" max="140" width="11.85546875" bestFit="1" customWidth="1"/>
    <col min="141" max="141" width="15.7109375" bestFit="1" customWidth="1"/>
    <col min="142" max="142" width="11.85546875" bestFit="1" customWidth="1"/>
    <col min="143" max="143" width="20.85546875" bestFit="1" customWidth="1"/>
    <col min="144" max="144" width="4.42578125" bestFit="1" customWidth="1"/>
    <col min="145" max="147" width="11.85546875" bestFit="1" customWidth="1"/>
    <col min="148" max="148" width="13.5703125" bestFit="1" customWidth="1"/>
    <col min="149" max="149" width="18.85546875" bestFit="1" customWidth="1"/>
    <col min="150" max="150" width="13.140625" bestFit="1" customWidth="1"/>
    <col min="151" max="151" width="11.85546875" bestFit="1" customWidth="1"/>
    <col min="152" max="152" width="18.42578125" bestFit="1" customWidth="1"/>
    <col min="153" max="153" width="13.85546875" bestFit="1" customWidth="1"/>
    <col min="154" max="154" width="11.85546875" bestFit="1" customWidth="1"/>
    <col min="155" max="155" width="20.7109375" bestFit="1" customWidth="1"/>
    <col min="156" max="156" width="11.85546875" bestFit="1" customWidth="1"/>
    <col min="157" max="157" width="17.7109375" bestFit="1" customWidth="1"/>
    <col min="158" max="158" width="14.85546875" bestFit="1" customWidth="1"/>
    <col min="159" max="159" width="20.42578125" bestFit="1" customWidth="1"/>
    <col min="160" max="160" width="19.42578125" bestFit="1" customWidth="1"/>
    <col min="161" max="161" width="11.85546875" bestFit="1" customWidth="1"/>
    <col min="162" max="162" width="14.5703125" bestFit="1" customWidth="1"/>
    <col min="163" max="163" width="19.7109375" bestFit="1" customWidth="1"/>
    <col min="164" max="164" width="37.140625" bestFit="1" customWidth="1"/>
    <col min="165" max="165" width="9.85546875" customWidth="1"/>
    <col min="166" max="166" width="15.140625" bestFit="1" customWidth="1"/>
    <col min="167" max="167" width="12" bestFit="1" customWidth="1"/>
    <col min="168" max="168" width="11.85546875" bestFit="1" customWidth="1"/>
    <col min="169" max="169" width="32.140625" bestFit="1" customWidth="1"/>
    <col min="170" max="171" width="7.85546875" bestFit="1" customWidth="1"/>
    <col min="172" max="172" width="25.42578125" bestFit="1" customWidth="1"/>
    <col min="173" max="173" width="11.85546875" bestFit="1" customWidth="1"/>
    <col min="174" max="174" width="10" bestFit="1" customWidth="1"/>
    <col min="175" max="175" width="11.85546875" bestFit="1" customWidth="1"/>
    <col min="176" max="176" width="15.7109375" bestFit="1" customWidth="1"/>
    <col min="177" max="177" width="11.85546875" bestFit="1" customWidth="1"/>
    <col min="178" max="178" width="20.85546875" bestFit="1" customWidth="1"/>
    <col min="179" max="179" width="4.42578125" bestFit="1" customWidth="1"/>
    <col min="180" max="182" width="11.85546875" bestFit="1" customWidth="1"/>
    <col min="183" max="183" width="13.5703125" bestFit="1" customWidth="1"/>
    <col min="184" max="184" width="18.85546875" bestFit="1" customWidth="1"/>
    <col min="185" max="185" width="13.140625" bestFit="1" customWidth="1"/>
    <col min="186" max="186" width="11.85546875" bestFit="1" customWidth="1"/>
    <col min="187" max="187" width="18.42578125" bestFit="1" customWidth="1"/>
    <col min="188" max="188" width="13.85546875" bestFit="1" customWidth="1"/>
    <col min="189" max="189" width="11.85546875" bestFit="1" customWidth="1"/>
    <col min="190" max="190" width="20.7109375" bestFit="1" customWidth="1"/>
    <col min="191" max="191" width="11.85546875" bestFit="1" customWidth="1"/>
    <col min="192" max="192" width="17.7109375" bestFit="1" customWidth="1"/>
    <col min="193" max="193" width="14.85546875" bestFit="1" customWidth="1"/>
    <col min="194" max="194" width="20.42578125" bestFit="1" customWidth="1"/>
    <col min="195" max="195" width="19.42578125" bestFit="1" customWidth="1"/>
    <col min="196" max="196" width="11.85546875" bestFit="1" customWidth="1"/>
    <col min="197" max="197" width="14.5703125" bestFit="1" customWidth="1"/>
    <col min="198" max="198" width="19.7109375" bestFit="1" customWidth="1"/>
    <col min="199" max="199" width="37.140625" bestFit="1" customWidth="1"/>
    <col min="200" max="200" width="30.5703125" bestFit="1" customWidth="1"/>
    <col min="201" max="201" width="15.140625" bestFit="1" customWidth="1"/>
    <col min="202" max="202" width="12" bestFit="1" customWidth="1"/>
    <col min="203" max="203" width="11.85546875" bestFit="1" customWidth="1"/>
    <col min="204" max="204" width="32.140625" bestFit="1" customWidth="1"/>
    <col min="205" max="206" width="7.85546875" bestFit="1" customWidth="1"/>
    <col min="207" max="207" width="25.42578125" bestFit="1" customWidth="1"/>
    <col min="208" max="208" width="11.85546875" bestFit="1" customWidth="1"/>
    <col min="209" max="209" width="10" bestFit="1" customWidth="1"/>
    <col min="210" max="210" width="11.85546875" bestFit="1" customWidth="1"/>
    <col min="211" max="211" width="15.7109375" bestFit="1" customWidth="1"/>
    <col min="212" max="212" width="11.85546875" bestFit="1" customWidth="1"/>
    <col min="213" max="213" width="20.85546875" bestFit="1" customWidth="1"/>
    <col min="214" max="214" width="4.42578125" bestFit="1" customWidth="1"/>
    <col min="215" max="217" width="11.85546875" bestFit="1" customWidth="1"/>
    <col min="218" max="218" width="13.5703125" bestFit="1" customWidth="1"/>
    <col min="219" max="219" width="18.85546875" bestFit="1" customWidth="1"/>
    <col min="220" max="220" width="13.140625" bestFit="1" customWidth="1"/>
    <col min="221" max="221" width="11.85546875" bestFit="1" customWidth="1"/>
    <col min="222" max="222" width="18.42578125" bestFit="1" customWidth="1"/>
    <col min="223" max="223" width="13.85546875" bestFit="1" customWidth="1"/>
    <col min="224" max="224" width="11.85546875" bestFit="1" customWidth="1"/>
    <col min="225" max="225" width="20.7109375" bestFit="1" customWidth="1"/>
    <col min="226" max="226" width="11.85546875" bestFit="1" customWidth="1"/>
    <col min="227" max="227" width="17.7109375" bestFit="1" customWidth="1"/>
    <col min="228" max="228" width="14.85546875" bestFit="1" customWidth="1"/>
    <col min="229" max="229" width="20.42578125" bestFit="1" customWidth="1"/>
    <col min="230" max="230" width="19.42578125" bestFit="1" customWidth="1"/>
    <col min="231" max="231" width="11.85546875" bestFit="1" customWidth="1"/>
    <col min="232" max="232" width="14.5703125" bestFit="1" customWidth="1"/>
    <col min="233" max="233" width="19.7109375" bestFit="1" customWidth="1"/>
    <col min="234" max="234" width="37.140625" bestFit="1" customWidth="1"/>
    <col min="235" max="235" width="30.5703125" bestFit="1" customWidth="1"/>
    <col min="236" max="236" width="15.140625" bestFit="1" customWidth="1"/>
    <col min="237" max="237" width="12" bestFit="1" customWidth="1"/>
    <col min="238" max="238" width="11.85546875" bestFit="1" customWidth="1"/>
    <col min="239" max="239" width="32.140625" bestFit="1" customWidth="1"/>
    <col min="240" max="241" width="7.85546875" bestFit="1" customWidth="1"/>
    <col min="242" max="242" width="25.42578125" bestFit="1" customWidth="1"/>
    <col min="243" max="243" width="11.85546875" bestFit="1" customWidth="1"/>
    <col min="244" max="244" width="10" bestFit="1" customWidth="1"/>
    <col min="245" max="245" width="11.85546875" bestFit="1" customWidth="1"/>
    <col min="246" max="246" width="15.7109375" bestFit="1" customWidth="1"/>
    <col min="247" max="247" width="11.85546875" bestFit="1" customWidth="1"/>
    <col min="248" max="248" width="20.85546875" bestFit="1" customWidth="1"/>
    <col min="249" max="249" width="4.42578125" bestFit="1" customWidth="1"/>
    <col min="250" max="252" width="11.85546875" bestFit="1" customWidth="1"/>
    <col min="253" max="253" width="13.5703125" bestFit="1" customWidth="1"/>
    <col min="254" max="254" width="18.85546875" bestFit="1" customWidth="1"/>
    <col min="255" max="255" width="13.140625" bestFit="1" customWidth="1"/>
    <col min="256" max="256" width="11.85546875" bestFit="1" customWidth="1"/>
    <col min="257" max="257" width="18.42578125" bestFit="1" customWidth="1"/>
    <col min="258" max="258" width="13.85546875" bestFit="1" customWidth="1"/>
    <col min="259" max="259" width="11.85546875" bestFit="1" customWidth="1"/>
    <col min="260" max="260" width="20.7109375" bestFit="1" customWidth="1"/>
    <col min="261" max="261" width="11.85546875" bestFit="1" customWidth="1"/>
    <col min="262" max="262" width="17.7109375" bestFit="1" customWidth="1"/>
    <col min="263" max="263" width="14.85546875" bestFit="1" customWidth="1"/>
    <col min="264" max="264" width="20.42578125" bestFit="1" customWidth="1"/>
    <col min="265" max="265" width="19.42578125" bestFit="1" customWidth="1"/>
    <col min="266" max="266" width="11.85546875" bestFit="1" customWidth="1"/>
    <col min="267" max="267" width="14.5703125" bestFit="1" customWidth="1"/>
    <col min="268" max="268" width="19.7109375" bestFit="1" customWidth="1"/>
    <col min="269" max="269" width="37.140625" bestFit="1" customWidth="1"/>
    <col min="270" max="270" width="30.5703125" bestFit="1" customWidth="1"/>
    <col min="271" max="271" width="15.140625" bestFit="1" customWidth="1"/>
    <col min="272" max="272" width="12" bestFit="1" customWidth="1"/>
    <col min="274" max="274" width="32.140625" bestFit="1" customWidth="1"/>
    <col min="275" max="276" width="7.85546875" bestFit="1" customWidth="1"/>
    <col min="277" max="277" width="25.42578125" bestFit="1" customWidth="1"/>
    <col min="278" max="278" width="11.85546875" bestFit="1" customWidth="1"/>
    <col min="279" max="279" width="10" bestFit="1" customWidth="1"/>
    <col min="280" max="280" width="11.85546875" bestFit="1" customWidth="1"/>
    <col min="281" max="281" width="15.7109375" bestFit="1" customWidth="1"/>
    <col min="282" max="282" width="11.85546875" bestFit="1" customWidth="1"/>
    <col min="283" max="283" width="20.85546875" bestFit="1" customWidth="1"/>
    <col min="284" max="284" width="4.42578125" bestFit="1" customWidth="1"/>
    <col min="285" max="287" width="11.85546875" bestFit="1" customWidth="1"/>
    <col min="288" max="288" width="13.5703125" bestFit="1" customWidth="1"/>
    <col min="289" max="289" width="18.85546875" bestFit="1" customWidth="1"/>
    <col min="290" max="290" width="13.140625" bestFit="1" customWidth="1"/>
    <col min="291" max="291" width="11.85546875" bestFit="1" customWidth="1"/>
    <col min="292" max="292" width="18.42578125" bestFit="1" customWidth="1"/>
    <col min="293" max="293" width="13.85546875" bestFit="1" customWidth="1"/>
    <col min="294" max="294" width="11.85546875" bestFit="1" customWidth="1"/>
    <col min="295" max="295" width="20.7109375" bestFit="1" customWidth="1"/>
    <col min="296" max="296" width="11.85546875" bestFit="1" customWidth="1"/>
    <col min="297" max="297" width="17.7109375" bestFit="1" customWidth="1"/>
    <col min="298" max="298" width="14.85546875" bestFit="1" customWidth="1"/>
    <col min="299" max="299" width="20.42578125" bestFit="1" customWidth="1"/>
    <col min="300" max="300" width="19.42578125" bestFit="1" customWidth="1"/>
    <col min="301" max="301" width="11.85546875" bestFit="1" customWidth="1"/>
    <col min="302" max="302" width="14.5703125" bestFit="1" customWidth="1"/>
    <col min="303" max="303" width="19.7109375" bestFit="1" customWidth="1"/>
    <col min="304" max="304" width="37.140625" bestFit="1" customWidth="1"/>
    <col min="305" max="305" width="30.5703125" bestFit="1" customWidth="1"/>
    <col min="306" max="306" width="15.140625" bestFit="1" customWidth="1"/>
    <col min="307" max="307" width="12" bestFit="1" customWidth="1"/>
    <col min="309" max="309" width="32.140625" bestFit="1" customWidth="1"/>
    <col min="310" max="311" width="7.85546875" bestFit="1" customWidth="1"/>
    <col min="312" max="312" width="25.42578125" bestFit="1" customWidth="1"/>
    <col min="313" max="313" width="11.85546875" bestFit="1" customWidth="1"/>
    <col min="314" max="314" width="10" bestFit="1" customWidth="1"/>
    <col min="315" max="315" width="11.85546875" bestFit="1" customWidth="1"/>
    <col min="316" max="316" width="15.7109375" bestFit="1" customWidth="1"/>
    <col min="317" max="317" width="11.85546875" bestFit="1" customWidth="1"/>
    <col min="318" max="318" width="20.85546875" bestFit="1" customWidth="1"/>
    <col min="319" max="319" width="4.42578125" bestFit="1" customWidth="1"/>
    <col min="320" max="322" width="11.85546875" bestFit="1" customWidth="1"/>
    <col min="323" max="323" width="13.5703125" bestFit="1" customWidth="1"/>
    <col min="324" max="324" width="18.85546875" bestFit="1" customWidth="1"/>
    <col min="325" max="325" width="13.140625" bestFit="1" customWidth="1"/>
    <col min="326" max="326" width="11.85546875" bestFit="1" customWidth="1"/>
    <col min="327" max="327" width="18.42578125" bestFit="1" customWidth="1"/>
    <col min="328" max="328" width="13.85546875" bestFit="1" customWidth="1"/>
    <col min="329" max="329" width="11.85546875" bestFit="1" customWidth="1"/>
    <col min="330" max="330" width="20.7109375" bestFit="1" customWidth="1"/>
    <col min="331" max="331" width="11.85546875" bestFit="1" customWidth="1"/>
    <col min="332" max="332" width="17.7109375" bestFit="1" customWidth="1"/>
    <col min="333" max="333" width="14.85546875" bestFit="1" customWidth="1"/>
    <col min="334" max="334" width="20.42578125" bestFit="1" customWidth="1"/>
    <col min="335" max="335" width="19.42578125" bestFit="1" customWidth="1"/>
    <col min="336" max="336" width="11.85546875" bestFit="1" customWidth="1"/>
    <col min="337" max="337" width="14.5703125" bestFit="1" customWidth="1"/>
    <col min="338" max="338" width="19.7109375" bestFit="1" customWidth="1"/>
    <col min="339" max="339" width="37.140625" bestFit="1" customWidth="1"/>
    <col min="340" max="340" width="30.5703125" bestFit="1" customWidth="1"/>
    <col min="341" max="341" width="15.140625" bestFit="1" customWidth="1"/>
    <col min="342" max="342" width="12" bestFit="1" customWidth="1"/>
    <col min="344" max="344" width="32.140625" bestFit="1" customWidth="1"/>
    <col min="345" max="346" width="7.85546875" bestFit="1" customWidth="1"/>
    <col min="347" max="347" width="25.42578125" bestFit="1" customWidth="1"/>
    <col min="348" max="348" width="11.85546875" bestFit="1" customWidth="1"/>
    <col min="349" max="349" width="10" bestFit="1" customWidth="1"/>
    <col min="350" max="350" width="11.85546875" bestFit="1" customWidth="1"/>
    <col min="351" max="351" width="15.7109375" bestFit="1" customWidth="1"/>
    <col min="352" max="352" width="11.85546875" bestFit="1" customWidth="1"/>
    <col min="353" max="353" width="20.85546875" bestFit="1" customWidth="1"/>
    <col min="354" max="354" width="4.42578125" bestFit="1" customWidth="1"/>
    <col min="355" max="357" width="11.85546875" bestFit="1" customWidth="1"/>
    <col min="358" max="358" width="13.5703125" bestFit="1" customWidth="1"/>
    <col min="359" max="359" width="18.85546875" bestFit="1" customWidth="1"/>
    <col min="360" max="360" width="13.140625" bestFit="1" customWidth="1"/>
    <col min="361" max="361" width="11.85546875" bestFit="1" customWidth="1"/>
    <col min="362" max="362" width="18.42578125" bestFit="1" customWidth="1"/>
    <col min="363" max="363" width="13.85546875" bestFit="1" customWidth="1"/>
    <col min="364" max="364" width="11.85546875" bestFit="1" customWidth="1"/>
    <col min="365" max="365" width="20.7109375" bestFit="1" customWidth="1"/>
    <col min="366" max="366" width="11.85546875" bestFit="1" customWidth="1"/>
    <col min="367" max="367" width="17.7109375" bestFit="1" customWidth="1"/>
    <col min="368" max="368" width="14.85546875" bestFit="1" customWidth="1"/>
    <col min="369" max="369" width="20.42578125" bestFit="1" customWidth="1"/>
    <col min="370" max="370" width="19.42578125" bestFit="1" customWidth="1"/>
    <col min="371" max="371" width="11.85546875" bestFit="1" customWidth="1"/>
    <col min="372" max="372" width="14.5703125" bestFit="1" customWidth="1"/>
    <col min="373" max="373" width="19.7109375" bestFit="1" customWidth="1"/>
    <col min="374" max="374" width="37.140625" bestFit="1" customWidth="1"/>
    <col min="375" max="375" width="30.5703125" bestFit="1" customWidth="1"/>
    <col min="376" max="376" width="15.140625" bestFit="1" customWidth="1"/>
    <col min="377" max="377" width="12" bestFit="1" customWidth="1"/>
  </cols>
  <sheetData>
    <row r="2" spans="1:13" x14ac:dyDescent="0.25">
      <c r="A2" s="254" t="s">
        <v>222</v>
      </c>
      <c r="B2" s="260" t="s">
        <v>235</v>
      </c>
      <c r="C2" s="260" t="s">
        <v>236</v>
      </c>
      <c r="D2" s="260" t="s">
        <v>237</v>
      </c>
      <c r="E2" s="260" t="s">
        <v>238</v>
      </c>
      <c r="F2" s="260" t="s">
        <v>239</v>
      </c>
      <c r="G2" s="260" t="s">
        <v>239</v>
      </c>
      <c r="H2" s="260" t="s">
        <v>239</v>
      </c>
      <c r="I2" s="260" t="s">
        <v>240</v>
      </c>
      <c r="J2" s="260" t="s">
        <v>241</v>
      </c>
      <c r="K2" s="260" t="s">
        <v>242</v>
      </c>
      <c r="L2" s="260" t="s">
        <v>243</v>
      </c>
      <c r="M2" s="260" t="s">
        <v>269</v>
      </c>
    </row>
    <row r="3" spans="1:13" x14ac:dyDescent="0.25">
      <c r="A3" s="266" t="s">
        <v>244</v>
      </c>
      <c r="B3" s="267">
        <v>114.21698393599999</v>
      </c>
      <c r="C3" s="267">
        <v>110.78742479200002</v>
      </c>
      <c r="D3" s="267">
        <v>123.330489766</v>
      </c>
      <c r="E3" s="267">
        <v>132.00458990400003</v>
      </c>
      <c r="F3" s="267">
        <v>135.04485937799998</v>
      </c>
      <c r="G3" s="267">
        <v>135.04485937799998</v>
      </c>
      <c r="H3" s="267">
        <v>135.04485937799998</v>
      </c>
      <c r="I3" s="267">
        <v>114.84770563199999</v>
      </c>
      <c r="J3" s="267">
        <v>131.12555031399998</v>
      </c>
      <c r="K3" s="267">
        <v>118.062711448</v>
      </c>
      <c r="L3" s="267">
        <v>129.071894754</v>
      </c>
      <c r="M3" s="265">
        <v>127.1904166522</v>
      </c>
    </row>
    <row r="4" spans="1:13" x14ac:dyDescent="0.25">
      <c r="A4" s="266" t="s">
        <v>125</v>
      </c>
      <c r="B4" s="267">
        <v>45.785655555000012</v>
      </c>
      <c r="C4" s="267">
        <v>48.825297105000011</v>
      </c>
      <c r="D4" s="267">
        <v>52.313671724999985</v>
      </c>
      <c r="E4" s="267">
        <v>53.313421005000002</v>
      </c>
      <c r="F4" s="267">
        <v>54.142513304999994</v>
      </c>
      <c r="G4" s="267">
        <v>54.142513304999994</v>
      </c>
      <c r="H4" s="267">
        <v>54.142513304999994</v>
      </c>
      <c r="I4" s="267">
        <v>49.506328710000012</v>
      </c>
      <c r="J4" s="267">
        <v>55.041932700000004</v>
      </c>
      <c r="K4" s="267">
        <v>53.947633979999999</v>
      </c>
      <c r="L4" s="267">
        <v>51.447437835000009</v>
      </c>
      <c r="M4" s="265">
        <v>51.570611879999994</v>
      </c>
    </row>
    <row r="5" spans="1:13" x14ac:dyDescent="0.25">
      <c r="A5" s="266" t="s">
        <v>245</v>
      </c>
      <c r="B5" s="267">
        <v>8.47072</v>
      </c>
      <c r="C5" s="267">
        <v>8.3079300000000025</v>
      </c>
      <c r="D5" s="267">
        <v>7.95397</v>
      </c>
      <c r="E5" s="267">
        <v>7.5976799999999987</v>
      </c>
      <c r="F5" s="267">
        <v>8.3003910649999995</v>
      </c>
      <c r="G5" s="267">
        <v>8.3003910649999995</v>
      </c>
      <c r="H5" s="267">
        <v>8.3003910649999995</v>
      </c>
      <c r="I5" s="267">
        <v>8.6749168150000013</v>
      </c>
      <c r="J5" s="267">
        <v>7.3970468300000007</v>
      </c>
      <c r="K5" s="267">
        <v>7.3417139900000006</v>
      </c>
      <c r="L5" s="267">
        <v>7.7629738250000022</v>
      </c>
      <c r="M5" s="265">
        <v>7.2282084449999999</v>
      </c>
    </row>
    <row r="6" spans="1:13" x14ac:dyDescent="0.25">
      <c r="A6" s="266" t="s">
        <v>246</v>
      </c>
      <c r="B6" s="267">
        <v>68.672508969999996</v>
      </c>
      <c r="C6" s="267">
        <v>57.986867952000004</v>
      </c>
      <c r="D6" s="267">
        <v>66.691803022000002</v>
      </c>
      <c r="E6" s="267">
        <v>77.409508800000012</v>
      </c>
      <c r="F6" s="267">
        <v>58.989768006000013</v>
      </c>
      <c r="G6" s="267">
        <v>58.989768006000013</v>
      </c>
      <c r="H6" s="267">
        <v>58.989768006000013</v>
      </c>
      <c r="I6" s="267">
        <v>69.017503880000021</v>
      </c>
      <c r="J6" s="267">
        <v>70.120372295999999</v>
      </c>
      <c r="K6" s="267">
        <v>67.123283162000007</v>
      </c>
      <c r="L6" s="267">
        <v>72.879056951999999</v>
      </c>
      <c r="M6" s="265">
        <v>54.869974119999995</v>
      </c>
    </row>
    <row r="7" spans="1:13" x14ac:dyDescent="0.25">
      <c r="A7" s="266" t="s">
        <v>127</v>
      </c>
      <c r="B7" s="267">
        <v>6.5792604504987091</v>
      </c>
      <c r="C7" s="267">
        <v>8.476859976578254</v>
      </c>
      <c r="D7" s="267">
        <v>10.216767329791898</v>
      </c>
      <c r="E7" s="267">
        <v>8.7936833628979318</v>
      </c>
      <c r="F7" s="267">
        <v>7.5687112743092388</v>
      </c>
      <c r="G7" s="267">
        <v>7.5687112743092388</v>
      </c>
      <c r="H7" s="267">
        <v>7.5687112743092388</v>
      </c>
      <c r="I7" s="267">
        <v>6.0381328800000009</v>
      </c>
      <c r="J7" s="267">
        <v>8.2691425871382194</v>
      </c>
      <c r="K7" s="267">
        <v>8.7393921057497028</v>
      </c>
      <c r="L7" s="267">
        <v>7.7731977881265664</v>
      </c>
      <c r="M7" s="265">
        <v>7.4313070075209433</v>
      </c>
    </row>
    <row r="8" spans="1:13" x14ac:dyDescent="0.25">
      <c r="A8" s="266" t="s">
        <v>128</v>
      </c>
      <c r="B8" s="267">
        <v>0.57859000000000005</v>
      </c>
      <c r="C8" s="267">
        <v>0.39660000000000006</v>
      </c>
      <c r="D8" s="267">
        <v>0.62912000000000012</v>
      </c>
      <c r="E8" s="267">
        <v>0.83195999999999992</v>
      </c>
      <c r="F8" s="267">
        <v>0.68414249999999988</v>
      </c>
      <c r="G8" s="267">
        <v>0.68414249999999988</v>
      </c>
      <c r="H8" s="267">
        <v>0.68414249999999988</v>
      </c>
      <c r="I8" s="267">
        <v>0.79145449999999995</v>
      </c>
      <c r="J8" s="267">
        <v>0.96493399999999996</v>
      </c>
      <c r="K8" s="267">
        <v>1.0696334999999999</v>
      </c>
      <c r="L8" s="267">
        <v>0.77597899999999997</v>
      </c>
      <c r="M8" s="265">
        <v>0.56639949999999983</v>
      </c>
    </row>
    <row r="9" spans="1:13" x14ac:dyDescent="0.25">
      <c r="A9" s="266" t="s">
        <v>129</v>
      </c>
      <c r="B9" s="267">
        <v>7.0649799999999994</v>
      </c>
      <c r="C9" s="267">
        <v>7.1050100000000009</v>
      </c>
      <c r="D9" s="267">
        <v>7.3321199999999997</v>
      </c>
      <c r="E9" s="267">
        <v>6.8465199999999991</v>
      </c>
      <c r="F9" s="267">
        <v>6.7089408400000003</v>
      </c>
      <c r="G9" s="267">
        <v>6.7089408400000003</v>
      </c>
      <c r="H9" s="267">
        <v>6.7089408400000003</v>
      </c>
      <c r="I9" s="267">
        <v>6.8111737699999999</v>
      </c>
      <c r="J9" s="267">
        <v>6.8685555499999991</v>
      </c>
      <c r="K9" s="267">
        <v>8.3991220599999981</v>
      </c>
      <c r="L9" s="267">
        <v>7.39333873</v>
      </c>
      <c r="M9" s="265">
        <v>7.483546127582537</v>
      </c>
    </row>
    <row r="10" spans="1:13" x14ac:dyDescent="0.25">
      <c r="A10" s="266" t="s">
        <v>130</v>
      </c>
      <c r="B10" s="267">
        <v>9.8387999999999973</v>
      </c>
      <c r="C10" s="267">
        <v>9.7968500000000009</v>
      </c>
      <c r="D10" s="267">
        <v>11.220780000000001</v>
      </c>
      <c r="E10" s="267">
        <v>12.926209999999998</v>
      </c>
      <c r="F10" s="267">
        <v>12.422274199999999</v>
      </c>
      <c r="G10" s="267">
        <v>12.422274199999999</v>
      </c>
      <c r="H10" s="267">
        <v>12.422274199999999</v>
      </c>
      <c r="I10" s="267">
        <v>9.5748254000000017</v>
      </c>
      <c r="J10" s="267">
        <v>10.979116399999997</v>
      </c>
      <c r="K10" s="267">
        <v>12.097904000000003</v>
      </c>
      <c r="L10" s="267">
        <v>11.437952399999993</v>
      </c>
      <c r="M10" s="265">
        <v>11.277771400000001</v>
      </c>
    </row>
    <row r="11" spans="1:13" x14ac:dyDescent="0.25">
      <c r="A11" s="266" t="s">
        <v>247</v>
      </c>
      <c r="B11" s="267">
        <v>4.2586295495012907</v>
      </c>
      <c r="C11" s="267">
        <v>4.8359700234217478</v>
      </c>
      <c r="D11" s="267">
        <v>3.7818626702081017</v>
      </c>
      <c r="E11" s="267">
        <v>3.7237566371020683</v>
      </c>
      <c r="F11" s="267">
        <v>3.2878799402692169</v>
      </c>
      <c r="G11" s="267">
        <v>3.2878799402692169</v>
      </c>
      <c r="H11" s="267">
        <v>3.2878799402692169</v>
      </c>
      <c r="I11" s="267">
        <v>3.6697643626418088</v>
      </c>
      <c r="J11" s="267">
        <v>3.6967168250269018</v>
      </c>
      <c r="K11" s="267">
        <v>3.4725282979555532</v>
      </c>
      <c r="L11" s="267">
        <v>3.6118557068255455</v>
      </c>
      <c r="M11" s="265">
        <v>2.5985696680747079</v>
      </c>
    </row>
    <row r="12" spans="1:13" x14ac:dyDescent="0.25">
      <c r="A12" s="268" t="s">
        <v>248</v>
      </c>
      <c r="B12" s="268">
        <v>265.46612846099998</v>
      </c>
      <c r="C12" s="268">
        <v>256.51880984900004</v>
      </c>
      <c r="D12" s="268">
        <v>283.47058451299995</v>
      </c>
      <c r="E12" s="268">
        <v>303.44732970899997</v>
      </c>
      <c r="F12" s="268">
        <v>287.14948050857845</v>
      </c>
      <c r="G12" s="268">
        <v>287.14948050857845</v>
      </c>
      <c r="H12" s="268">
        <v>287.14948050857845</v>
      </c>
      <c r="I12" s="268">
        <v>268.93180594964178</v>
      </c>
      <c r="J12" s="268">
        <v>294.46336750216511</v>
      </c>
      <c r="K12" s="268">
        <v>280.2539225437053</v>
      </c>
      <c r="L12" s="268">
        <v>292.15368699095205</v>
      </c>
      <c r="M12" s="268">
        <v>270.21680480037821</v>
      </c>
    </row>
    <row r="13" spans="1:13" ht="12" customHeight="1" x14ac:dyDescent="0.25">
      <c r="B13" s="235"/>
      <c r="C13" s="235"/>
      <c r="D13" s="235"/>
      <c r="E13" s="235"/>
      <c r="F13" s="235"/>
      <c r="G13" s="235"/>
      <c r="H13" s="235"/>
      <c r="I13" s="235"/>
      <c r="J13" s="235"/>
      <c r="K13" s="234"/>
      <c r="L13" s="235"/>
    </row>
    <row r="14" spans="1:13" x14ac:dyDescent="0.25">
      <c r="A14" s="230" t="s">
        <v>249</v>
      </c>
      <c r="B14" s="235"/>
      <c r="C14" s="235"/>
      <c r="D14" s="235"/>
      <c r="E14" s="235"/>
      <c r="F14" s="235"/>
      <c r="G14" s="235"/>
      <c r="H14" s="235"/>
      <c r="I14" s="235"/>
      <c r="J14" s="235"/>
      <c r="K14" s="234"/>
      <c r="L14" s="235"/>
    </row>
    <row r="15" spans="1:13" x14ac:dyDescent="0.25">
      <c r="A15" s="266" t="s">
        <v>250</v>
      </c>
      <c r="B15" s="267">
        <v>6.9630877499999997</v>
      </c>
      <c r="C15" s="267">
        <v>4.0202233859999996</v>
      </c>
      <c r="D15" s="267">
        <v>1.83109929</v>
      </c>
      <c r="E15" s="267">
        <v>3.5671031710000003</v>
      </c>
      <c r="F15" s="267">
        <v>5.7491591840000007</v>
      </c>
      <c r="G15" s="267">
        <v>5.7491591840000007</v>
      </c>
      <c r="H15" s="267">
        <v>5.7491591840000007</v>
      </c>
      <c r="I15" s="267">
        <v>3.9675738119999999</v>
      </c>
      <c r="J15" s="267">
        <v>2.7303618869999999</v>
      </c>
      <c r="K15" s="267">
        <v>2.0212944749999999</v>
      </c>
      <c r="L15" s="267">
        <v>2.8006985029999996</v>
      </c>
      <c r="M15" s="265">
        <v>3</v>
      </c>
    </row>
    <row r="16" spans="1:13" x14ac:dyDescent="0.25">
      <c r="A16" s="266" t="s">
        <v>125</v>
      </c>
      <c r="B16" s="267">
        <v>1.072334084</v>
      </c>
      <c r="C16" s="267">
        <v>0.41356716600000004</v>
      </c>
      <c r="D16" s="267">
        <v>0.68743300899999993</v>
      </c>
      <c r="E16" s="267">
        <v>0.79938539399999997</v>
      </c>
      <c r="F16" s="267">
        <v>1.3834457150000001</v>
      </c>
      <c r="G16" s="267">
        <v>1.3834457150000001</v>
      </c>
      <c r="H16" s="267">
        <v>1.3834457150000001</v>
      </c>
      <c r="I16" s="267">
        <v>0.93780383</v>
      </c>
      <c r="J16" s="267">
        <v>1.891836429</v>
      </c>
      <c r="K16" s="267">
        <v>1.2493223259999999</v>
      </c>
      <c r="L16" s="267">
        <v>1.0665370929999998</v>
      </c>
      <c r="M16" s="265">
        <v>1.5</v>
      </c>
    </row>
    <row r="17" spans="1:126" x14ac:dyDescent="0.25">
      <c r="A17" s="266" t="s">
        <v>245</v>
      </c>
      <c r="B17" s="267">
        <v>1.8064797890000002</v>
      </c>
      <c r="C17" s="267">
        <v>1.5442239360000001</v>
      </c>
      <c r="D17" s="267">
        <v>2.0194141340000002</v>
      </c>
      <c r="E17" s="267">
        <v>2.9256440269999997</v>
      </c>
      <c r="F17" s="267">
        <v>2.7029510290000003</v>
      </c>
      <c r="G17" s="267">
        <v>2.7029510290000003</v>
      </c>
      <c r="H17" s="267">
        <v>2.7029510290000003</v>
      </c>
      <c r="I17" s="267">
        <v>1.439624155</v>
      </c>
      <c r="J17" s="267">
        <v>2.4053691449999999</v>
      </c>
      <c r="K17" s="267">
        <v>2.9320418399999997</v>
      </c>
      <c r="L17" s="267">
        <v>1.3654411220000002</v>
      </c>
      <c r="M17" s="265">
        <v>2.2999999999999998</v>
      </c>
    </row>
    <row r="18" spans="1:126" x14ac:dyDescent="0.25">
      <c r="A18" s="266" t="s">
        <v>246</v>
      </c>
      <c r="B18" s="267">
        <v>6.1252460099999997</v>
      </c>
      <c r="C18" s="267">
        <v>10.526237225999999</v>
      </c>
      <c r="D18" s="267">
        <v>14.253475785000001</v>
      </c>
      <c r="E18" s="267">
        <v>9.3245089350000008</v>
      </c>
      <c r="F18" s="267">
        <v>13.195940556</v>
      </c>
      <c r="G18" s="267">
        <v>13.195940556</v>
      </c>
      <c r="H18" s="267">
        <v>13.195940556</v>
      </c>
      <c r="I18" s="267">
        <v>22.582513774999999</v>
      </c>
      <c r="J18" s="267">
        <v>18.45462779</v>
      </c>
      <c r="K18" s="267">
        <v>14.520546078000001</v>
      </c>
      <c r="L18" s="267">
        <v>16.322263564</v>
      </c>
      <c r="M18" s="265">
        <v>22</v>
      </c>
    </row>
    <row r="19" spans="1:126" x14ac:dyDescent="0.25">
      <c r="A19" s="266" t="s">
        <v>127</v>
      </c>
      <c r="B19" s="267">
        <v>0.28921191100000004</v>
      </c>
      <c r="C19" s="267">
        <v>9.6526785000000004E-2</v>
      </c>
      <c r="D19" s="267">
        <v>7.6745898000000007E-2</v>
      </c>
      <c r="E19" s="267">
        <v>0.102720963</v>
      </c>
      <c r="F19" s="267">
        <v>5.1398922999999999E-2</v>
      </c>
      <c r="G19" s="267">
        <v>5.1398922999999999E-2</v>
      </c>
      <c r="H19" s="267">
        <v>5.1398922999999999E-2</v>
      </c>
      <c r="I19" s="267">
        <v>0.297444555</v>
      </c>
      <c r="J19" s="267">
        <v>3.962948E-3</v>
      </c>
      <c r="K19" s="267">
        <v>8.6693850000000003E-2</v>
      </c>
      <c r="L19" s="267">
        <v>0.25894629600000002</v>
      </c>
      <c r="M19" s="265">
        <v>0.13709229700000003</v>
      </c>
    </row>
    <row r="20" spans="1:126" x14ac:dyDescent="0.25">
      <c r="A20" s="266" t="s">
        <v>128</v>
      </c>
      <c r="B20" s="267">
        <v>8.5229344999999998E-2</v>
      </c>
      <c r="C20" s="267">
        <v>0.31454375199999995</v>
      </c>
      <c r="D20" s="267">
        <v>0.19059023</v>
      </c>
      <c r="E20" s="267">
        <v>0.13135449100000002</v>
      </c>
      <c r="F20" s="267">
        <v>0.1152343</v>
      </c>
      <c r="G20" s="267">
        <v>0.1152343</v>
      </c>
      <c r="H20" s="267">
        <v>0.1152343</v>
      </c>
      <c r="I20" s="267">
        <v>0.75704998899999998</v>
      </c>
      <c r="J20" s="267">
        <v>8.2550089000000007E-2</v>
      </c>
      <c r="K20" s="267">
        <v>1.4908889E-2</v>
      </c>
      <c r="L20" s="267">
        <v>0.15935711399999997</v>
      </c>
      <c r="M20" s="265">
        <v>0.22009899066666669</v>
      </c>
    </row>
    <row r="21" spans="1:126" x14ac:dyDescent="0.25">
      <c r="A21" s="266" t="s">
        <v>129</v>
      </c>
      <c r="B21" s="267">
        <v>3.1741077999999999E-2</v>
      </c>
      <c r="C21" s="267">
        <v>2.1726709E-2</v>
      </c>
      <c r="D21" s="267">
        <v>4.6077105E-2</v>
      </c>
      <c r="E21" s="267">
        <v>7.5842829E-2</v>
      </c>
      <c r="F21" s="267">
        <v>7.3623645000000001E-2</v>
      </c>
      <c r="G21" s="267">
        <v>7.3623645000000001E-2</v>
      </c>
      <c r="H21" s="267">
        <v>7.3623645000000001E-2</v>
      </c>
      <c r="I21" s="267">
        <v>4.8515131999999996E-2</v>
      </c>
      <c r="J21" s="267">
        <v>0.114377469</v>
      </c>
      <c r="K21" s="267">
        <v>4.8966660999999995E-2</v>
      </c>
      <c r="L21" s="267">
        <v>0.15502175199999998</v>
      </c>
      <c r="M21" s="265">
        <v>0.1</v>
      </c>
    </row>
    <row r="22" spans="1:126" x14ac:dyDescent="0.25">
      <c r="A22" s="266" t="s">
        <v>130</v>
      </c>
      <c r="B22" s="267">
        <v>4.6535100000000002E-4</v>
      </c>
      <c r="C22" s="267">
        <v>4.4486500000000002E-4</v>
      </c>
      <c r="D22" s="267">
        <v>3.6230799999999999E-4</v>
      </c>
      <c r="E22" s="267">
        <v>2.8970900000000003E-4</v>
      </c>
      <c r="F22" s="267">
        <v>1.0874599999999999E-4</v>
      </c>
      <c r="G22" s="267">
        <v>1.0874599999999999E-4</v>
      </c>
      <c r="H22" s="267">
        <v>1.0874599999999999E-4</v>
      </c>
      <c r="I22" s="267">
        <v>3.7743719999999998E-3</v>
      </c>
      <c r="J22" s="267">
        <v>6.6285900000000002E-4</v>
      </c>
      <c r="K22" s="267">
        <v>1.5620900000000004E-4</v>
      </c>
      <c r="L22" s="267">
        <v>3.0558329999999996E-3</v>
      </c>
      <c r="M22" s="265">
        <v>1.5209220000000003E-3</v>
      </c>
    </row>
    <row r="23" spans="1:126" x14ac:dyDescent="0.25">
      <c r="A23" s="266" t="s">
        <v>247</v>
      </c>
      <c r="B23" s="267">
        <v>0.122695731</v>
      </c>
      <c r="C23" s="267">
        <v>0.12234482300000001</v>
      </c>
      <c r="D23" s="267">
        <v>0.13465195000000002</v>
      </c>
      <c r="E23" s="267">
        <v>0.13884200599999999</v>
      </c>
      <c r="F23" s="267">
        <v>0.17315617999999999</v>
      </c>
      <c r="G23" s="267">
        <v>0.17315617999999999</v>
      </c>
      <c r="H23" s="267">
        <v>0.17315617999999999</v>
      </c>
      <c r="I23" s="267">
        <v>0.11941184699999999</v>
      </c>
      <c r="J23" s="267">
        <v>0.16489816099999999</v>
      </c>
      <c r="K23" s="267">
        <v>0.178626538</v>
      </c>
      <c r="L23" s="267">
        <v>0.16297127299999994</v>
      </c>
      <c r="M23" s="265">
        <v>0.16363070799999999</v>
      </c>
    </row>
    <row r="24" spans="1:126" x14ac:dyDescent="0.25">
      <c r="A24" s="263" t="s">
        <v>248</v>
      </c>
      <c r="B24" s="268">
        <v>16.496491048999996</v>
      </c>
      <c r="C24" s="268">
        <v>17.059838647999996</v>
      </c>
      <c r="D24" s="268">
        <v>19.239849708999998</v>
      </c>
      <c r="E24" s="268">
        <v>17.065691524999998</v>
      </c>
      <c r="F24" s="268">
        <v>23.445018278000003</v>
      </c>
      <c r="G24" s="268">
        <v>23.445018278000003</v>
      </c>
      <c r="H24" s="268">
        <v>23.445018278000003</v>
      </c>
      <c r="I24" s="268">
        <v>30.15371146699999</v>
      </c>
      <c r="J24" s="268">
        <v>25.848646777000003</v>
      </c>
      <c r="K24" s="268">
        <v>21.052556866000003</v>
      </c>
      <c r="L24" s="268">
        <v>22.294292550000002</v>
      </c>
      <c r="M24" s="263">
        <v>29.422342917666668</v>
      </c>
    </row>
    <row r="25" spans="1:126" x14ac:dyDescent="0.25">
      <c r="B25" s="235"/>
      <c r="C25" s="235"/>
      <c r="D25" s="235"/>
      <c r="E25" s="235"/>
      <c r="F25" s="235"/>
      <c r="G25" s="235"/>
      <c r="H25" s="235"/>
      <c r="I25" s="235"/>
      <c r="J25" s="235"/>
      <c r="K25" s="234"/>
      <c r="L25" s="235"/>
    </row>
    <row r="26" spans="1:126" x14ac:dyDescent="0.25">
      <c r="A26" s="230" t="s">
        <v>251</v>
      </c>
      <c r="B26" s="235"/>
      <c r="C26" s="235"/>
      <c r="D26" s="235"/>
      <c r="E26" s="235"/>
      <c r="F26" s="235"/>
      <c r="G26" s="235"/>
      <c r="H26" s="235"/>
      <c r="I26" s="235"/>
      <c r="J26" s="235"/>
      <c r="K26" s="234"/>
      <c r="L26" s="235"/>
    </row>
    <row r="27" spans="1:126" x14ac:dyDescent="0.25">
      <c r="A27" s="266" t="s">
        <v>250</v>
      </c>
      <c r="B27" s="267">
        <v>14.813286536</v>
      </c>
      <c r="C27" s="267">
        <v>22.657018689000001</v>
      </c>
      <c r="D27" s="267">
        <v>31.701127426999999</v>
      </c>
      <c r="E27" s="267">
        <v>33.755240817000001</v>
      </c>
      <c r="F27" s="267">
        <v>33.112226907999997</v>
      </c>
      <c r="G27" s="267">
        <v>33.112226907999997</v>
      </c>
      <c r="H27" s="267">
        <v>33.112226907999997</v>
      </c>
      <c r="I27" s="267">
        <v>22.363951480000001</v>
      </c>
      <c r="J27" s="267">
        <v>36.870737443000003</v>
      </c>
      <c r="K27" s="267">
        <v>27.401202697000002</v>
      </c>
      <c r="L27" s="267">
        <v>29.250537505000004</v>
      </c>
      <c r="M27" s="265">
        <v>36</v>
      </c>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35"/>
      <c r="BV27" s="235"/>
      <c r="BW27" s="235"/>
      <c r="BX27" s="235"/>
      <c r="BY27" s="235"/>
      <c r="BZ27" s="235"/>
      <c r="CA27" s="235"/>
      <c r="CB27" s="235"/>
      <c r="CC27" s="235"/>
      <c r="CD27" s="235"/>
      <c r="CE27" s="235"/>
      <c r="CF27" s="235"/>
      <c r="CG27" s="235"/>
      <c r="CH27" s="235"/>
      <c r="CI27" s="235"/>
      <c r="CJ27" s="235"/>
      <c r="CK27" s="235"/>
      <c r="CL27" s="235"/>
      <c r="CM27" s="235"/>
      <c r="CN27" s="235"/>
      <c r="CO27" s="235"/>
      <c r="CP27" s="235"/>
      <c r="CQ27" s="235"/>
      <c r="CR27" s="235"/>
      <c r="CS27" s="235"/>
      <c r="CT27" s="235"/>
      <c r="CU27" s="235"/>
      <c r="CV27" s="235"/>
      <c r="CW27" s="235"/>
      <c r="CX27" s="235"/>
      <c r="CY27" s="235"/>
      <c r="CZ27" s="235"/>
      <c r="DA27" s="235"/>
      <c r="DB27" s="235"/>
      <c r="DC27" s="235"/>
      <c r="DD27" s="235"/>
      <c r="DE27" s="235"/>
      <c r="DF27" s="235"/>
      <c r="DG27" s="235"/>
      <c r="DH27" s="235"/>
      <c r="DI27" s="235"/>
      <c r="DJ27" s="235"/>
      <c r="DK27" s="235"/>
      <c r="DL27" s="235"/>
      <c r="DM27" s="235"/>
      <c r="DN27" s="235"/>
      <c r="DO27" s="235"/>
      <c r="DP27" s="235"/>
      <c r="DQ27" s="235"/>
      <c r="DR27" s="235"/>
      <c r="DS27" s="235"/>
      <c r="DT27" s="235"/>
      <c r="DU27" s="235"/>
      <c r="DV27" s="235"/>
    </row>
    <row r="28" spans="1:126" x14ac:dyDescent="0.25">
      <c r="A28" s="266" t="s">
        <v>125</v>
      </c>
      <c r="B28" s="267">
        <v>5.6307603380000009</v>
      </c>
      <c r="C28" s="267">
        <v>7.8076972359999992</v>
      </c>
      <c r="D28" s="267">
        <v>8.3309971269999998</v>
      </c>
      <c r="E28" s="267">
        <v>12.049769119</v>
      </c>
      <c r="F28" s="267">
        <v>13.481520514</v>
      </c>
      <c r="G28" s="267">
        <v>13.481520514</v>
      </c>
      <c r="H28" s="267">
        <v>13.481520514</v>
      </c>
      <c r="I28" s="267">
        <v>7.8857977740000003</v>
      </c>
      <c r="J28" s="267">
        <v>10.520487842</v>
      </c>
      <c r="K28" s="267">
        <v>10.646667451999999</v>
      </c>
      <c r="L28" s="267">
        <v>10.500851466</v>
      </c>
      <c r="M28" s="265">
        <v>9.9589766279999985</v>
      </c>
    </row>
    <row r="29" spans="1:126" x14ac:dyDescent="0.25">
      <c r="A29" s="266" t="s">
        <v>245</v>
      </c>
      <c r="B29" s="267">
        <v>1.463136089</v>
      </c>
      <c r="C29" s="267">
        <v>1.496209101</v>
      </c>
      <c r="D29" s="267">
        <v>1.1912133770000002</v>
      </c>
      <c r="E29" s="267">
        <v>1.306531036</v>
      </c>
      <c r="F29" s="267">
        <v>1.238122476</v>
      </c>
      <c r="G29" s="267">
        <v>1.238122476</v>
      </c>
      <c r="H29" s="267">
        <v>1.238122476</v>
      </c>
      <c r="I29" s="267">
        <v>1.0140210139999999</v>
      </c>
      <c r="J29" s="267">
        <v>1.3060742569999999</v>
      </c>
      <c r="K29" s="267">
        <v>0.82834148199999991</v>
      </c>
      <c r="L29" s="267">
        <v>1.1466080960000002</v>
      </c>
      <c r="M29" s="265">
        <v>0.9</v>
      </c>
    </row>
    <row r="30" spans="1:126" x14ac:dyDescent="0.25">
      <c r="A30" s="266" t="s">
        <v>246</v>
      </c>
      <c r="B30" s="267">
        <v>4.1950274299999997</v>
      </c>
      <c r="C30" s="267">
        <v>2.6931734679999999</v>
      </c>
      <c r="D30" s="267">
        <v>4.1714026899999999</v>
      </c>
      <c r="E30" s="267">
        <v>4.944115526</v>
      </c>
      <c r="F30" s="267">
        <v>3.0588163320000001</v>
      </c>
      <c r="G30" s="267">
        <v>3.0588163320000001</v>
      </c>
      <c r="H30" s="267">
        <v>3.0588163320000001</v>
      </c>
      <c r="I30" s="267">
        <v>4.215818498</v>
      </c>
      <c r="J30" s="267">
        <v>5.8664226639999999</v>
      </c>
      <c r="K30" s="267">
        <v>3.6727687950000001</v>
      </c>
      <c r="L30" s="267">
        <v>6.5616734579999987</v>
      </c>
      <c r="M30" s="265">
        <v>3</v>
      </c>
    </row>
    <row r="31" spans="1:126" x14ac:dyDescent="0.25">
      <c r="A31" s="266" t="s">
        <v>127</v>
      </c>
      <c r="B31" s="267">
        <v>7.1110434E-2</v>
      </c>
      <c r="C31" s="267">
        <v>0.129729231</v>
      </c>
      <c r="D31" s="267">
        <v>0.18625950499999999</v>
      </c>
      <c r="E31" s="267">
        <v>0.19966216000000001</v>
      </c>
      <c r="F31" s="267">
        <v>0.18242456899999998</v>
      </c>
      <c r="G31" s="267">
        <v>0.18242456899999998</v>
      </c>
      <c r="H31" s="267">
        <v>0.18242456899999998</v>
      </c>
      <c r="I31" s="267">
        <v>0.21744229900000001</v>
      </c>
      <c r="J31" s="267">
        <v>0.28338061999999997</v>
      </c>
      <c r="K31" s="267">
        <v>0.17423354800000002</v>
      </c>
      <c r="L31" s="267">
        <v>0.17486462600000002</v>
      </c>
      <c r="M31" s="265">
        <v>0.18884682433333336</v>
      </c>
    </row>
    <row r="32" spans="1:126" x14ac:dyDescent="0.25">
      <c r="A32" s="266" t="s">
        <v>128</v>
      </c>
      <c r="B32" s="267">
        <v>9.4928889999999991E-3</v>
      </c>
      <c r="C32" s="267">
        <v>9.281025E-3</v>
      </c>
      <c r="D32" s="267">
        <v>1.1886413E-2</v>
      </c>
      <c r="E32" s="267">
        <v>2.8349711E-2</v>
      </c>
      <c r="F32" s="267">
        <v>1.3018013E-2</v>
      </c>
      <c r="G32" s="267">
        <v>1.3018013E-2</v>
      </c>
      <c r="H32" s="267">
        <v>1.3018013E-2</v>
      </c>
      <c r="I32" s="267">
        <v>2.1081632000000003E-2</v>
      </c>
      <c r="J32" s="267">
        <v>1.4616183000000001E-2</v>
      </c>
      <c r="K32" s="267">
        <v>1.7989961999999998E-2</v>
      </c>
      <c r="L32" s="267">
        <v>1.5407889999999999E-2</v>
      </c>
      <c r="M32" s="265">
        <v>1.6004678333333331E-2</v>
      </c>
    </row>
    <row r="33" spans="1:71" x14ac:dyDescent="0.25">
      <c r="A33" s="266" t="s">
        <v>129</v>
      </c>
      <c r="B33" s="267">
        <v>0.25090119699999996</v>
      </c>
      <c r="C33" s="267">
        <v>0.20531511900000002</v>
      </c>
      <c r="D33" s="267">
        <v>0.354009672</v>
      </c>
      <c r="E33" s="267">
        <v>0.23449893799999999</v>
      </c>
      <c r="F33" s="267">
        <v>0.25832807400000002</v>
      </c>
      <c r="G33" s="267">
        <v>0.25832807400000002</v>
      </c>
      <c r="H33" s="267">
        <v>0.25832807400000002</v>
      </c>
      <c r="I33" s="267">
        <v>0.118117122</v>
      </c>
      <c r="J33" s="267">
        <v>0.21792127900000002</v>
      </c>
      <c r="K33" s="267">
        <v>0.13960508199999999</v>
      </c>
      <c r="L33" s="267">
        <v>0.21308602000000001</v>
      </c>
      <c r="M33" s="265">
        <v>0.18891629866666668</v>
      </c>
    </row>
    <row r="34" spans="1:71" x14ac:dyDescent="0.25">
      <c r="A34" s="266" t="s">
        <v>130</v>
      </c>
      <c r="B34" s="267">
        <v>1.7654120000000001E-3</v>
      </c>
      <c r="C34" s="267">
        <v>2.8942170000000001E-3</v>
      </c>
      <c r="D34" s="267">
        <v>2.4817480000000002E-3</v>
      </c>
      <c r="E34" s="267">
        <v>1.189383E-3</v>
      </c>
      <c r="F34" s="267">
        <v>2.5647220000000002E-3</v>
      </c>
      <c r="G34" s="267">
        <v>2.5647220000000002E-3</v>
      </c>
      <c r="H34" s="267">
        <v>2.5647220000000002E-3</v>
      </c>
      <c r="I34" s="267">
        <v>1.716013E-3</v>
      </c>
      <c r="J34" s="267">
        <v>1.2796938000000001E-2</v>
      </c>
      <c r="K34" s="267">
        <v>6.9642940000000011E-3</v>
      </c>
      <c r="L34" s="267">
        <v>3.3142100000000002E-3</v>
      </c>
      <c r="M34" s="265">
        <v>4.5091866666666673E-3</v>
      </c>
    </row>
    <row r="35" spans="1:71" x14ac:dyDescent="0.25">
      <c r="A35" s="266" t="s">
        <v>247</v>
      </c>
      <c r="B35" s="267">
        <v>1.4864412E-2</v>
      </c>
      <c r="C35" s="267">
        <v>2.1240436000000001E-2</v>
      </c>
      <c r="D35" s="267">
        <v>1.3081576999999999E-2</v>
      </c>
      <c r="E35" s="267">
        <v>1.8066988000000003E-2</v>
      </c>
      <c r="F35" s="267">
        <v>1.6955497999999999E-2</v>
      </c>
      <c r="G35" s="267">
        <v>1.6955497999999999E-2</v>
      </c>
      <c r="H35" s="267">
        <v>1.6955497999999999E-2</v>
      </c>
      <c r="I35" s="267">
        <v>2.0349764999999999E-2</v>
      </c>
      <c r="J35" s="267">
        <v>1.7956600999999999E-2</v>
      </c>
      <c r="K35" s="267">
        <v>2.2415763000000002E-2</v>
      </c>
      <c r="L35" s="267">
        <v>2.0177430999999999E-2</v>
      </c>
      <c r="M35" s="265">
        <v>1.9847727999999999E-2</v>
      </c>
    </row>
    <row r="36" spans="1:71" x14ac:dyDescent="0.25">
      <c r="A36" s="263" t="s">
        <v>248</v>
      </c>
      <c r="B36" s="268">
        <v>26.450344737000005</v>
      </c>
      <c r="C36" s="268">
        <v>35.022558521999997</v>
      </c>
      <c r="D36" s="268">
        <v>45.962459535999997</v>
      </c>
      <c r="E36" s="268">
        <v>52.53742367800001</v>
      </c>
      <c r="F36" s="268">
        <v>51.363977105999993</v>
      </c>
      <c r="G36" s="268">
        <v>51.363977105999993</v>
      </c>
      <c r="H36" s="268">
        <v>51.363977105999993</v>
      </c>
      <c r="I36" s="268">
        <v>35.858295596999994</v>
      </c>
      <c r="J36" s="268">
        <v>55.11039382700001</v>
      </c>
      <c r="K36" s="268">
        <v>42.910189075000005</v>
      </c>
      <c r="L36" s="268">
        <v>47.886520702000006</v>
      </c>
      <c r="M36" s="263">
        <v>50.277101344000002</v>
      </c>
    </row>
    <row r="37" spans="1:71" x14ac:dyDescent="0.25">
      <c r="B37" s="235"/>
      <c r="C37" s="235"/>
      <c r="D37" s="235"/>
      <c r="E37" s="235"/>
      <c r="F37" s="235"/>
      <c r="G37" s="235"/>
      <c r="H37" s="235"/>
      <c r="I37" s="235"/>
      <c r="J37" s="235"/>
      <c r="K37" s="234"/>
      <c r="L37" s="235"/>
    </row>
    <row r="38" spans="1:71" x14ac:dyDescent="0.25">
      <c r="A38" s="230" t="s">
        <v>114</v>
      </c>
      <c r="B38" s="235"/>
      <c r="C38" s="235"/>
      <c r="D38" s="235"/>
      <c r="E38" s="235"/>
      <c r="F38" s="235"/>
      <c r="G38" s="235"/>
      <c r="H38" s="235"/>
      <c r="I38" s="235"/>
      <c r="J38" s="235"/>
      <c r="K38" s="234"/>
      <c r="L38" s="235"/>
    </row>
    <row r="39" spans="1:71" x14ac:dyDescent="0.25">
      <c r="A39" s="266" t="s">
        <v>250</v>
      </c>
      <c r="B39" s="267">
        <v>48.378999999999991</v>
      </c>
      <c r="C39" s="267">
        <v>38.152999999999999</v>
      </c>
      <c r="D39" s="267">
        <v>36.177502201735543</v>
      </c>
      <c r="E39" s="267">
        <v>44.966189846917445</v>
      </c>
      <c r="F39" s="267">
        <v>48.358999999999995</v>
      </c>
      <c r="G39" s="267">
        <v>48.358999999999995</v>
      </c>
      <c r="H39" s="267">
        <v>48.358999999999995</v>
      </c>
      <c r="I39" s="267">
        <v>44.846444444444444</v>
      </c>
      <c r="J39" s="267">
        <v>40.5</v>
      </c>
      <c r="K39" s="267">
        <v>38.200000000000003</v>
      </c>
      <c r="L39" s="267">
        <v>39.800000000000004</v>
      </c>
      <c r="M39" s="265">
        <v>40.5</v>
      </c>
    </row>
    <row r="40" spans="1:71" x14ac:dyDescent="0.25">
      <c r="A40" s="266" t="s">
        <v>125</v>
      </c>
      <c r="B40" s="267">
        <v>33.135989000000002</v>
      </c>
      <c r="C40" s="267">
        <v>33.971853000000003</v>
      </c>
      <c r="D40" s="267">
        <v>32.636605000000003</v>
      </c>
      <c r="E40" s="267">
        <v>32.582589299999995</v>
      </c>
      <c r="F40" s="267">
        <v>33.007287699999999</v>
      </c>
      <c r="G40" s="267">
        <v>33.007287699999999</v>
      </c>
      <c r="H40" s="267">
        <v>33.007287699999999</v>
      </c>
      <c r="I40" s="267">
        <v>31.3</v>
      </c>
      <c r="J40" s="267">
        <v>34.5</v>
      </c>
      <c r="K40" s="267">
        <v>35.6</v>
      </c>
      <c r="L40" s="267">
        <v>33</v>
      </c>
      <c r="M40" s="265">
        <v>33.5</v>
      </c>
    </row>
    <row r="41" spans="1:71" x14ac:dyDescent="0.25">
      <c r="A41" s="266" t="s">
        <v>245</v>
      </c>
      <c r="B41" s="267">
        <v>0.2</v>
      </c>
      <c r="C41" s="267">
        <v>0.20000000000000004</v>
      </c>
      <c r="D41" s="267">
        <v>0.1</v>
      </c>
      <c r="E41" s="267">
        <v>0.08</v>
      </c>
      <c r="F41" s="267">
        <v>0.6</v>
      </c>
      <c r="G41" s="267">
        <v>0.6</v>
      </c>
      <c r="H41" s="267">
        <v>0.6</v>
      </c>
      <c r="I41" s="267">
        <v>0.8</v>
      </c>
      <c r="J41" s="267">
        <v>0.4</v>
      </c>
      <c r="K41" s="267">
        <v>0.4</v>
      </c>
      <c r="L41" s="267">
        <v>0.5</v>
      </c>
      <c r="M41" s="265">
        <v>0.5</v>
      </c>
    </row>
    <row r="42" spans="1:71" x14ac:dyDescent="0.25">
      <c r="A42" s="266" t="s">
        <v>246</v>
      </c>
      <c r="B42" s="267">
        <v>53.940000000000005</v>
      </c>
      <c r="C42" s="267">
        <v>57</v>
      </c>
      <c r="D42" s="267">
        <v>60.010000000000005</v>
      </c>
      <c r="E42" s="267">
        <v>59.706000000000003</v>
      </c>
      <c r="F42" s="267">
        <v>56.143000000000001</v>
      </c>
      <c r="G42" s="267">
        <v>56.143000000000001</v>
      </c>
      <c r="H42" s="267">
        <v>56.143000000000001</v>
      </c>
      <c r="I42" s="267">
        <v>65.2</v>
      </c>
      <c r="J42" s="267">
        <v>68.099999999999994</v>
      </c>
      <c r="K42" s="267">
        <v>63.5</v>
      </c>
      <c r="L42" s="267">
        <v>64.599999999999994</v>
      </c>
      <c r="M42" s="265">
        <v>60.5</v>
      </c>
    </row>
    <row r="43" spans="1:71" x14ac:dyDescent="0.25">
      <c r="A43" s="266" t="s">
        <v>127</v>
      </c>
      <c r="B43" s="267">
        <v>1.9945156419804184</v>
      </c>
      <c r="C43" s="267">
        <v>3.4</v>
      </c>
      <c r="D43" s="267">
        <v>4.1912703558745141</v>
      </c>
      <c r="E43" s="267">
        <v>3.4978763912032464</v>
      </c>
      <c r="F43" s="267">
        <v>2.9958641008263491</v>
      </c>
      <c r="G43" s="267">
        <v>2.9958641008263491</v>
      </c>
      <c r="H43" s="267">
        <v>2.9958641008263491</v>
      </c>
      <c r="I43" s="267">
        <v>1.4</v>
      </c>
      <c r="J43" s="267">
        <v>2.58</v>
      </c>
      <c r="K43" s="267">
        <v>3.8</v>
      </c>
      <c r="L43" s="267">
        <v>2.6</v>
      </c>
      <c r="M43" s="265">
        <v>2.6520000000000001</v>
      </c>
    </row>
    <row r="44" spans="1:71" x14ac:dyDescent="0.25">
      <c r="A44" s="266" t="s">
        <v>128</v>
      </c>
      <c r="B44" s="267">
        <v>0.4840352005048828</v>
      </c>
      <c r="C44" s="267">
        <v>0.67225284648470884</v>
      </c>
      <c r="D44" s="267">
        <v>0.47714642590455503</v>
      </c>
      <c r="E44" s="267">
        <v>0.57843979118169875</v>
      </c>
      <c r="F44" s="267">
        <v>0.65141330647093199</v>
      </c>
      <c r="G44" s="267">
        <v>0.65141330647093199</v>
      </c>
      <c r="H44" s="267">
        <v>0.65141330647093199</v>
      </c>
      <c r="I44" s="267">
        <v>0.64859817800987629</v>
      </c>
      <c r="J44" s="267">
        <v>0.44999999999999996</v>
      </c>
      <c r="K44" s="267">
        <v>1.4</v>
      </c>
      <c r="L44" s="267">
        <v>0.9</v>
      </c>
      <c r="M44" s="265">
        <v>0.91800000000000004</v>
      </c>
    </row>
    <row r="45" spans="1:71" x14ac:dyDescent="0.25">
      <c r="A45" s="266" t="s">
        <v>129</v>
      </c>
      <c r="B45" s="267">
        <v>5.3632946389683251</v>
      </c>
      <c r="C45" s="267">
        <v>5.5163249722100787</v>
      </c>
      <c r="D45" s="267">
        <v>5.5517220730537664</v>
      </c>
      <c r="E45" s="267">
        <v>4.4668217912901333</v>
      </c>
      <c r="F45" s="267">
        <v>4.6921595850967197</v>
      </c>
      <c r="G45" s="267">
        <v>4.6921595850967197</v>
      </c>
      <c r="H45" s="267">
        <v>4.6921595850967197</v>
      </c>
      <c r="I45" s="267">
        <v>5.34</v>
      </c>
      <c r="J45" s="267">
        <v>5.0999999999999996</v>
      </c>
      <c r="K45" s="267">
        <v>5.8</v>
      </c>
      <c r="L45" s="267">
        <v>5.7</v>
      </c>
      <c r="M45" s="265">
        <v>5.8140000000000001</v>
      </c>
    </row>
    <row r="46" spans="1:71" x14ac:dyDescent="0.25">
      <c r="A46" s="266" t="s">
        <v>130</v>
      </c>
      <c r="B46" s="267">
        <v>9.0999575595510009</v>
      </c>
      <c r="C46" s="267">
        <v>8.7999704533678873</v>
      </c>
      <c r="D46" s="267">
        <v>10.199827104809779</v>
      </c>
      <c r="E46" s="267">
        <v>11.299972997396001</v>
      </c>
      <c r="F46" s="267">
        <v>10.999982448297382</v>
      </c>
      <c r="G46" s="267">
        <v>10.999982448297382</v>
      </c>
      <c r="H46" s="267">
        <v>10.999982448297382</v>
      </c>
      <c r="I46" s="267">
        <v>8.7788414182493781</v>
      </c>
      <c r="J46" s="267">
        <v>8.1</v>
      </c>
      <c r="K46" s="267">
        <v>10.7</v>
      </c>
      <c r="L46" s="267">
        <v>10.5</v>
      </c>
      <c r="M46" s="265">
        <v>10.5</v>
      </c>
      <c r="BS46" s="136"/>
    </row>
    <row r="47" spans="1:71" x14ac:dyDescent="0.25">
      <c r="A47" s="266" t="s">
        <v>247</v>
      </c>
      <c r="B47" s="267">
        <v>3.8488727715326054</v>
      </c>
      <c r="C47" s="267">
        <v>4.3395005397558037</v>
      </c>
      <c r="D47" s="267">
        <v>3.3299001293560808</v>
      </c>
      <c r="E47" s="267">
        <v>3.3030061961373898</v>
      </c>
      <c r="F47" s="267">
        <v>3.9046607774973396</v>
      </c>
      <c r="G47" s="267">
        <v>3.9046607774973396</v>
      </c>
      <c r="H47" s="267">
        <v>3.9046607774973396</v>
      </c>
      <c r="I47" s="267">
        <v>4.17</v>
      </c>
      <c r="J47" s="267">
        <v>3.3</v>
      </c>
      <c r="K47" s="267">
        <v>3.1</v>
      </c>
      <c r="L47" s="267">
        <v>3.3</v>
      </c>
      <c r="M47" s="265">
        <v>2.3659999999999997</v>
      </c>
    </row>
    <row r="48" spans="1:71" x14ac:dyDescent="0.25">
      <c r="A48" s="263" t="s">
        <v>248</v>
      </c>
      <c r="B48" s="268">
        <v>156.44566481253722</v>
      </c>
      <c r="C48" s="268">
        <v>152.05290181181846</v>
      </c>
      <c r="D48" s="268">
        <v>152.67397329073418</v>
      </c>
      <c r="E48" s="268">
        <v>160.48089631412591</v>
      </c>
      <c r="F48" s="268">
        <v>161.3533679181887</v>
      </c>
      <c r="G48" s="268">
        <v>161.3533679181887</v>
      </c>
      <c r="H48" s="268">
        <v>161.3533679181887</v>
      </c>
      <c r="I48" s="268">
        <v>162.48388404070371</v>
      </c>
      <c r="J48" s="268">
        <v>163.03</v>
      </c>
      <c r="K48" s="268">
        <v>162.50000000000003</v>
      </c>
      <c r="L48" s="268">
        <v>160.9</v>
      </c>
      <c r="M48" s="263">
        <v>157.25</v>
      </c>
    </row>
    <row r="49" spans="1:13" x14ac:dyDescent="0.25">
      <c r="B49" s="235"/>
      <c r="C49" s="235"/>
      <c r="D49" s="235"/>
      <c r="E49" s="235"/>
      <c r="F49" s="235"/>
      <c r="G49" s="235"/>
      <c r="H49" s="235"/>
      <c r="I49" s="235"/>
      <c r="J49" s="235"/>
      <c r="K49" s="234"/>
      <c r="L49" s="235"/>
    </row>
    <row r="50" spans="1:13" x14ac:dyDescent="0.25">
      <c r="A50" s="230" t="s">
        <v>252</v>
      </c>
      <c r="B50" s="235"/>
      <c r="C50" s="235"/>
      <c r="D50" s="235"/>
      <c r="E50" s="235"/>
      <c r="F50" s="235"/>
      <c r="G50" s="235"/>
      <c r="H50" s="235"/>
      <c r="I50" s="235"/>
      <c r="J50" s="235"/>
      <c r="K50" s="234"/>
      <c r="L50" s="235"/>
    </row>
    <row r="51" spans="1:13" x14ac:dyDescent="0.25">
      <c r="A51" s="266" t="s">
        <v>250</v>
      </c>
      <c r="B51" s="267">
        <v>4.9936921261151026</v>
      </c>
      <c r="C51" s="267">
        <v>4.2252340948473002</v>
      </c>
      <c r="D51" s="267">
        <v>4.0695330253582371</v>
      </c>
      <c r="E51" s="267">
        <v>4.3359291652308753</v>
      </c>
      <c r="F51" s="267">
        <v>4.4998808338138483</v>
      </c>
      <c r="G51" s="267">
        <v>4.4998808338138483</v>
      </c>
      <c r="H51" s="267">
        <v>4.4998808338138483</v>
      </c>
      <c r="I51" s="267">
        <v>4.3485410058402012</v>
      </c>
      <c r="J51" s="267">
        <v>3.7397452650225729</v>
      </c>
      <c r="K51" s="267">
        <v>3.1</v>
      </c>
      <c r="L51" s="267">
        <v>3.4</v>
      </c>
      <c r="M51" s="265">
        <v>2.8</v>
      </c>
    </row>
    <row r="52" spans="1:13" x14ac:dyDescent="0.25">
      <c r="A52" s="266" t="s">
        <v>125</v>
      </c>
      <c r="B52" s="267">
        <v>0.30011364134071722</v>
      </c>
      <c r="C52" s="267">
        <v>0.34410744074647698</v>
      </c>
      <c r="D52" s="267">
        <v>0.35959614669059503</v>
      </c>
      <c r="E52" s="267">
        <v>0.32371735100136712</v>
      </c>
      <c r="F52" s="267">
        <v>0.40851964754082498</v>
      </c>
      <c r="G52" s="267">
        <v>0.40851964754082498</v>
      </c>
      <c r="H52" s="267">
        <v>0.40851964754082498</v>
      </c>
      <c r="I52" s="267">
        <v>0.43699818091286996</v>
      </c>
      <c r="J52" s="267">
        <v>0.43699818091286996</v>
      </c>
      <c r="K52" s="267">
        <v>0.43699818091286996</v>
      </c>
      <c r="L52" s="267">
        <v>0.43699818091286996</v>
      </c>
      <c r="M52" s="265">
        <v>0.43699818091286996</v>
      </c>
    </row>
    <row r="53" spans="1:13" x14ac:dyDescent="0.25">
      <c r="A53" s="266" t="s">
        <v>245</v>
      </c>
      <c r="B53" s="267">
        <v>0</v>
      </c>
      <c r="C53" s="267">
        <v>0</v>
      </c>
      <c r="D53" s="267">
        <v>0</v>
      </c>
      <c r="E53" s="267">
        <v>0</v>
      </c>
      <c r="F53" s="267">
        <v>0</v>
      </c>
      <c r="G53" s="267">
        <v>0</v>
      </c>
      <c r="H53" s="267">
        <v>0</v>
      </c>
      <c r="I53" s="267">
        <v>0</v>
      </c>
      <c r="J53" s="267">
        <v>0</v>
      </c>
      <c r="K53" s="267">
        <v>0</v>
      </c>
      <c r="L53" s="267">
        <v>0</v>
      </c>
      <c r="M53" s="265">
        <v>0</v>
      </c>
    </row>
    <row r="54" spans="1:13" x14ac:dyDescent="0.25">
      <c r="A54" s="266" t="s">
        <v>246</v>
      </c>
      <c r="B54" s="267">
        <v>3.7724357677675515</v>
      </c>
      <c r="C54" s="267">
        <v>5.1109685505444933</v>
      </c>
      <c r="D54" s="267">
        <v>5.4954752242771603</v>
      </c>
      <c r="E54" s="267">
        <v>5.4156017593346313</v>
      </c>
      <c r="F54" s="267">
        <v>5.4612117971581497</v>
      </c>
      <c r="G54" s="267">
        <v>5.4612117971581497</v>
      </c>
      <c r="H54" s="267">
        <v>5.4612117971581497</v>
      </c>
      <c r="I54" s="267">
        <v>6.4109999999999996</v>
      </c>
      <c r="J54" s="267">
        <v>6.1639999999999997</v>
      </c>
      <c r="K54" s="267">
        <v>6.2</v>
      </c>
      <c r="L54" s="267">
        <v>6.8</v>
      </c>
      <c r="M54" s="265">
        <v>6.3</v>
      </c>
    </row>
    <row r="55" spans="1:13" x14ac:dyDescent="0.25">
      <c r="A55" s="266" t="s">
        <v>127</v>
      </c>
      <c r="B55" s="267">
        <v>0.65479339928883751</v>
      </c>
      <c r="C55" s="267">
        <v>0.75077987071958607</v>
      </c>
      <c r="D55" s="267">
        <v>0.78457341096129818</v>
      </c>
      <c r="E55" s="267">
        <v>0.70629240218480094</v>
      </c>
      <c r="F55" s="267">
        <v>0.89131559463452714</v>
      </c>
      <c r="G55" s="267">
        <v>0.89131559463452714</v>
      </c>
      <c r="H55" s="267">
        <v>0.89131559463452714</v>
      </c>
      <c r="I55" s="267">
        <v>0.7</v>
      </c>
      <c r="J55" s="267">
        <v>0.7</v>
      </c>
      <c r="K55" s="267">
        <v>0.9</v>
      </c>
      <c r="L55" s="267">
        <v>0.9</v>
      </c>
      <c r="M55" s="265">
        <v>0.9</v>
      </c>
    </row>
    <row r="56" spans="1:13" x14ac:dyDescent="0.25">
      <c r="A56" s="266" t="s">
        <v>128</v>
      </c>
      <c r="B56" s="267">
        <v>0</v>
      </c>
      <c r="C56" s="267">
        <v>0</v>
      </c>
      <c r="D56" s="267">
        <v>0</v>
      </c>
      <c r="E56" s="267">
        <v>0</v>
      </c>
      <c r="F56" s="267">
        <v>0</v>
      </c>
      <c r="G56" s="267">
        <v>0</v>
      </c>
      <c r="H56" s="267">
        <v>0</v>
      </c>
      <c r="I56" s="267">
        <v>0</v>
      </c>
      <c r="J56" s="267">
        <v>0</v>
      </c>
      <c r="K56" s="267">
        <v>0</v>
      </c>
      <c r="L56" s="267">
        <v>0</v>
      </c>
      <c r="M56" s="265">
        <v>0</v>
      </c>
    </row>
    <row r="57" spans="1:13" x14ac:dyDescent="0.25">
      <c r="A57" s="266" t="s">
        <v>129</v>
      </c>
      <c r="B57" s="267">
        <v>0</v>
      </c>
      <c r="C57" s="267">
        <v>0</v>
      </c>
      <c r="D57" s="267">
        <v>0</v>
      </c>
      <c r="E57" s="267">
        <v>0</v>
      </c>
      <c r="F57" s="267">
        <v>0</v>
      </c>
      <c r="G57" s="267">
        <v>0</v>
      </c>
      <c r="H57" s="267">
        <v>0</v>
      </c>
      <c r="I57" s="267">
        <v>0</v>
      </c>
      <c r="J57" s="267">
        <v>0</v>
      </c>
      <c r="K57" s="267">
        <v>0</v>
      </c>
      <c r="L57" s="267">
        <v>0</v>
      </c>
      <c r="M57" s="265">
        <v>0</v>
      </c>
    </row>
    <row r="58" spans="1:13" x14ac:dyDescent="0.25">
      <c r="A58" s="266" t="s">
        <v>130</v>
      </c>
      <c r="B58" s="267">
        <v>0.23199983675065136</v>
      </c>
      <c r="C58" s="267">
        <v>0.2647353442631557</v>
      </c>
      <c r="D58" s="267">
        <v>0.28053977780608752</v>
      </c>
      <c r="E58" s="267">
        <v>0.26036556497752794</v>
      </c>
      <c r="F58" s="267">
        <v>0.32165746477973989</v>
      </c>
      <c r="G58" s="267">
        <v>0.32165746477973989</v>
      </c>
      <c r="H58" s="267">
        <v>0.32165746477973989</v>
      </c>
      <c r="I58" s="267">
        <v>0.34375069657823493</v>
      </c>
      <c r="J58" s="267">
        <v>0.34375069657823493</v>
      </c>
      <c r="K58" s="267">
        <v>0.34375069657823493</v>
      </c>
      <c r="L58" s="267">
        <v>0.34375069657823493</v>
      </c>
      <c r="M58" s="265">
        <v>0.34375069657823493</v>
      </c>
    </row>
    <row r="59" spans="1:13" x14ac:dyDescent="0.25">
      <c r="A59" s="266" t="s">
        <v>247</v>
      </c>
      <c r="B59" s="267">
        <v>1.3547687982662695E-2</v>
      </c>
      <c r="C59" s="267">
        <v>1.6807107256689074E-2</v>
      </c>
      <c r="D59" s="267">
        <v>1.3675251304399257E-2</v>
      </c>
      <c r="E59" s="267">
        <v>4.4940858417724374E-3</v>
      </c>
      <c r="F59" s="267">
        <v>1.2585883208207796E-2</v>
      </c>
      <c r="G59" s="267">
        <v>1.2585883208207796E-2</v>
      </c>
      <c r="H59" s="267">
        <v>1.2585883208207796E-2</v>
      </c>
      <c r="I59" s="267">
        <v>1.37932696232041E-2</v>
      </c>
      <c r="J59" s="267">
        <v>1.37932696232041E-2</v>
      </c>
      <c r="K59" s="267">
        <v>1.37932696232041E-2</v>
      </c>
      <c r="L59" s="267">
        <v>1.37932696232041E-2</v>
      </c>
      <c r="M59" s="265">
        <v>1.37932696232041E-2</v>
      </c>
    </row>
    <row r="60" spans="1:13" x14ac:dyDescent="0.25">
      <c r="A60" s="263" t="s">
        <v>248</v>
      </c>
      <c r="B60" s="268">
        <v>9.9665824592455223</v>
      </c>
      <c r="C60" s="268">
        <v>10.712632408377701</v>
      </c>
      <c r="D60" s="268">
        <v>11.003392836397778</v>
      </c>
      <c r="E60" s="268">
        <v>11.046400328570975</v>
      </c>
      <c r="F60" s="268">
        <v>11.595171221135297</v>
      </c>
      <c r="G60" s="268">
        <v>11.595171221135297</v>
      </c>
      <c r="H60" s="268">
        <v>11.595171221135297</v>
      </c>
      <c r="I60" s="268">
        <v>12.254083152954509</v>
      </c>
      <c r="J60" s="268">
        <v>11.398287412136879</v>
      </c>
      <c r="K60" s="268">
        <v>10.994542147114309</v>
      </c>
      <c r="L60" s="268">
        <v>11.894542147114308</v>
      </c>
      <c r="M60" s="263">
        <v>10.794542147114308</v>
      </c>
    </row>
    <row r="61" spans="1:13" x14ac:dyDescent="0.25">
      <c r="B61" s="234"/>
      <c r="C61" s="234"/>
      <c r="D61" s="234"/>
      <c r="E61" s="234"/>
      <c r="F61" s="234"/>
      <c r="G61" s="234"/>
      <c r="H61" s="234"/>
      <c r="I61" s="234"/>
      <c r="J61" s="234"/>
      <c r="K61" s="234"/>
      <c r="L61" s="234"/>
    </row>
    <row r="62" spans="1:13" x14ac:dyDescent="0.25">
      <c r="A62" s="230" t="s">
        <v>253</v>
      </c>
      <c r="B62" s="235"/>
      <c r="C62" s="235"/>
      <c r="D62" s="235"/>
      <c r="E62" s="235"/>
      <c r="F62" s="235"/>
      <c r="G62" s="235"/>
      <c r="H62" s="235"/>
      <c r="I62" s="235"/>
      <c r="J62" s="235"/>
      <c r="K62" s="234"/>
      <c r="L62" s="235"/>
    </row>
    <row r="63" spans="1:13" x14ac:dyDescent="0.25">
      <c r="A63" s="266" t="s">
        <v>250</v>
      </c>
      <c r="B63" s="267">
        <v>40.582771520593212</v>
      </c>
      <c r="C63" s="267">
        <v>40.739074217134807</v>
      </c>
      <c r="D63" s="267">
        <v>40.854272062521986</v>
      </c>
      <c r="E63" s="267">
        <v>41.034120548759297</v>
      </c>
      <c r="F63" s="267">
        <v>41.227260994621481</v>
      </c>
      <c r="G63" s="267">
        <v>41.227260994621481</v>
      </c>
      <c r="H63" s="267">
        <v>41.227260994621481</v>
      </c>
      <c r="I63" s="267">
        <v>41.612680800108222</v>
      </c>
      <c r="J63" s="267">
        <v>41.2</v>
      </c>
      <c r="K63" s="267">
        <v>41</v>
      </c>
      <c r="L63" s="267">
        <v>41.097928253159417</v>
      </c>
      <c r="M63" s="265">
        <v>41.415688542700202</v>
      </c>
    </row>
    <row r="64" spans="1:13" x14ac:dyDescent="0.25">
      <c r="A64" s="266" t="s">
        <v>125</v>
      </c>
      <c r="B64" s="267">
        <v>0.35698128631156184</v>
      </c>
      <c r="C64" s="267">
        <v>0.35829691404138841</v>
      </c>
      <c r="D64" s="267">
        <v>0.35829691404138841</v>
      </c>
      <c r="E64" s="267">
        <v>0.35893030636097745</v>
      </c>
      <c r="F64" s="267">
        <v>0.35984935479494412</v>
      </c>
      <c r="G64" s="267">
        <v>0.35984935479494412</v>
      </c>
      <c r="H64" s="267">
        <v>0.35984935479494412</v>
      </c>
      <c r="I64" s="267">
        <v>0.36143150491297515</v>
      </c>
      <c r="J64" s="267">
        <v>0.36143150491297515</v>
      </c>
      <c r="K64" s="267">
        <v>0.3621881627824789</v>
      </c>
      <c r="L64" s="267">
        <v>0.36216986126584622</v>
      </c>
      <c r="M64" s="265">
        <v>0.36408884397870678</v>
      </c>
    </row>
    <row r="65" spans="1:13" x14ac:dyDescent="0.25">
      <c r="A65" s="266" t="s">
        <v>245</v>
      </c>
      <c r="B65" s="267">
        <v>7.9001007351695014</v>
      </c>
      <c r="C65" s="267">
        <v>7.9171134799570293</v>
      </c>
      <c r="D65" s="267">
        <v>7.9346275470967695</v>
      </c>
      <c r="E65" s="267">
        <v>7.9671738867758446</v>
      </c>
      <c r="F65" s="267">
        <v>7.9873592542395677</v>
      </c>
      <c r="G65" s="267">
        <v>7.9873592542395677</v>
      </c>
      <c r="H65" s="267">
        <v>7.9873592542395677</v>
      </c>
      <c r="I65" s="267">
        <v>8.0479731272110371</v>
      </c>
      <c r="J65" s="267">
        <v>8.0708381188955318</v>
      </c>
      <c r="K65" s="267">
        <v>8.0759158713324624</v>
      </c>
      <c r="L65" s="267">
        <v>8.0755077919863343</v>
      </c>
      <c r="M65" s="265">
        <v>8.1182964431353515</v>
      </c>
    </row>
    <row r="66" spans="1:13" x14ac:dyDescent="0.25">
      <c r="A66" s="266" t="s">
        <v>246</v>
      </c>
      <c r="B66" s="267">
        <v>4.6169931878035175</v>
      </c>
      <c r="C66" s="267">
        <v>4.6233985947446277</v>
      </c>
      <c r="D66" s="267">
        <v>4.6307977718868685</v>
      </c>
      <c r="E66" s="267">
        <v>4.6455159898453342</v>
      </c>
      <c r="F66" s="267">
        <v>4.6560605177837351</v>
      </c>
      <c r="G66" s="267">
        <v>4.6560605177837351</v>
      </c>
      <c r="H66" s="267">
        <v>4.6560605177837351</v>
      </c>
      <c r="I66" s="267">
        <v>4.6848682571471452</v>
      </c>
      <c r="J66" s="267">
        <v>4.6976446487866736</v>
      </c>
      <c r="K66" s="267">
        <v>4.7006001629739007</v>
      </c>
      <c r="L66" s="267">
        <v>4.7003626397169134</v>
      </c>
      <c r="M66" s="265">
        <v>4.7252678447449243</v>
      </c>
    </row>
    <row r="67" spans="1:13" x14ac:dyDescent="0.25">
      <c r="A67" s="266" t="s">
        <v>127</v>
      </c>
      <c r="B67" s="267">
        <v>3.0139420030019015</v>
      </c>
      <c r="C67" s="267">
        <v>3.0250496599780088</v>
      </c>
      <c r="D67" s="267">
        <v>3.0250496599780088</v>
      </c>
      <c r="E67" s="267">
        <v>3.0303973008476821</v>
      </c>
      <c r="F67" s="267">
        <v>3.0381566954830292</v>
      </c>
      <c r="G67" s="267">
        <v>3.0381566954830292</v>
      </c>
      <c r="H67" s="267">
        <v>3.0381566954830292</v>
      </c>
      <c r="I67" s="267">
        <v>3</v>
      </c>
      <c r="J67" s="267">
        <v>3</v>
      </c>
      <c r="K67" s="267">
        <v>2.9591489433240419</v>
      </c>
      <c r="L67" s="267">
        <v>2.9589994163124773</v>
      </c>
      <c r="M67" s="265">
        <v>2.9746778847179418</v>
      </c>
    </row>
    <row r="68" spans="1:13" x14ac:dyDescent="0.25">
      <c r="A68" s="266" t="s">
        <v>128</v>
      </c>
      <c r="B68" s="267">
        <v>0.15299197984781227</v>
      </c>
      <c r="C68" s="267">
        <v>0.15355582030345225</v>
      </c>
      <c r="D68" s="267">
        <v>0.15355582030345225</v>
      </c>
      <c r="E68" s="267">
        <v>0.15382727415470468</v>
      </c>
      <c r="F68" s="267">
        <v>0.15422115205497611</v>
      </c>
      <c r="G68" s="267">
        <v>0.15422115205497611</v>
      </c>
      <c r="H68" s="267">
        <v>0.15422115205497611</v>
      </c>
      <c r="I68" s="267">
        <v>0.15489921639127516</v>
      </c>
      <c r="J68" s="267">
        <v>0.15489921639127516</v>
      </c>
      <c r="K68" s="267">
        <v>0.15522349833534821</v>
      </c>
      <c r="L68" s="267">
        <v>0.15521565482821992</v>
      </c>
      <c r="M68" s="265">
        <v>0.15603807599087444</v>
      </c>
    </row>
    <row r="69" spans="1:13" x14ac:dyDescent="0.25">
      <c r="A69" s="266" t="s">
        <v>129</v>
      </c>
      <c r="B69" s="267">
        <v>1.1000000000000001</v>
      </c>
      <c r="C69" s="267">
        <v>1.1000000000000001</v>
      </c>
      <c r="D69" s="267">
        <v>0.97726560334412715</v>
      </c>
      <c r="E69" s="267">
        <v>0.9803716789841932</v>
      </c>
      <c r="F69" s="267">
        <v>0.98259695526817603</v>
      </c>
      <c r="G69" s="267">
        <v>0.98259695526817603</v>
      </c>
      <c r="H69" s="267">
        <v>0.98259695526817603</v>
      </c>
      <c r="I69" s="267">
        <v>0.98867642886576557</v>
      </c>
      <c r="J69" s="267">
        <v>0.98867642886576557</v>
      </c>
      <c r="K69" s="267">
        <v>1.1000000000000001</v>
      </c>
      <c r="L69" s="267">
        <v>1.0999444165481795</v>
      </c>
      <c r="M69" s="265">
        <v>1.1057725501015512</v>
      </c>
    </row>
    <row r="70" spans="1:13" x14ac:dyDescent="0.25">
      <c r="A70" s="266" t="s">
        <v>130</v>
      </c>
      <c r="B70" s="267">
        <v>5.0997326615937429E-2</v>
      </c>
      <c r="C70" s="267">
        <v>5.1185273434484084E-2</v>
      </c>
      <c r="D70" s="267">
        <v>5.1185273434484084E-2</v>
      </c>
      <c r="E70" s="267">
        <v>5.1275758051568233E-2</v>
      </c>
      <c r="F70" s="267">
        <v>5.1407050684992045E-2</v>
      </c>
      <c r="G70" s="267">
        <v>5.1407050684992045E-2</v>
      </c>
      <c r="H70" s="267">
        <v>5.1407050684992045E-2</v>
      </c>
      <c r="I70" s="267">
        <v>5.1633072130425055E-2</v>
      </c>
      <c r="J70" s="267">
        <v>5.1633072130425055E-2</v>
      </c>
      <c r="K70" s="267">
        <v>5.1741166111782734E-2</v>
      </c>
      <c r="L70" s="267">
        <v>5.173855160940663E-2</v>
      </c>
      <c r="M70" s="265">
        <v>5.2012691996958134E-2</v>
      </c>
    </row>
    <row r="71" spans="1:13" x14ac:dyDescent="0.25">
      <c r="A71" s="266" t="s">
        <v>247</v>
      </c>
      <c r="B71" s="267">
        <v>2.2438823711012461E-2</v>
      </c>
      <c r="C71" s="267">
        <v>2.252152031117299E-2</v>
      </c>
      <c r="D71" s="267">
        <v>2.252152031117299E-2</v>
      </c>
      <c r="E71" s="267">
        <v>2.2561333542690017E-2</v>
      </c>
      <c r="F71" s="267">
        <v>2.2619102301396493E-2</v>
      </c>
      <c r="G71" s="267">
        <v>2.2619102301396493E-2</v>
      </c>
      <c r="H71" s="267">
        <v>2.2619102301396493E-2</v>
      </c>
      <c r="I71" s="267">
        <v>2.2718551737387013E-2</v>
      </c>
      <c r="J71" s="267">
        <v>2.2718551737387013E-2</v>
      </c>
      <c r="K71" s="267">
        <v>2.2766113089184394E-2</v>
      </c>
      <c r="L71" s="267">
        <v>2.2764962708138908E-2</v>
      </c>
      <c r="M71" s="265">
        <v>2.2885584478661573E-2</v>
      </c>
    </row>
    <row r="72" spans="1:13" x14ac:dyDescent="0.25">
      <c r="A72" s="263" t="s">
        <v>248</v>
      </c>
      <c r="B72" s="268">
        <v>57.797216863054452</v>
      </c>
      <c r="C72" s="268">
        <v>57.990195479904976</v>
      </c>
      <c r="D72" s="268">
        <v>58.007572172918259</v>
      </c>
      <c r="E72" s="268">
        <v>58.244174077322292</v>
      </c>
      <c r="F72" s="268">
        <v>58.479531077232309</v>
      </c>
      <c r="G72" s="268">
        <v>58.479531077232309</v>
      </c>
      <c r="H72" s="268">
        <v>58.479531077232309</v>
      </c>
      <c r="I72" s="268">
        <v>58.924880958504239</v>
      </c>
      <c r="J72" s="268">
        <v>58.54784154172004</v>
      </c>
      <c r="K72" s="268">
        <v>58.427583917949192</v>
      </c>
      <c r="L72" s="268">
        <v>58.524631548134927</v>
      </c>
      <c r="M72" s="263">
        <v>58.934728461845168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AE41"/>
  <sheetViews>
    <sheetView workbookViewId="0"/>
  </sheetViews>
  <sheetFormatPr defaultRowHeight="15" x14ac:dyDescent="0.25"/>
  <cols>
    <col min="1" max="1" width="23.7109375" customWidth="1"/>
    <col min="2" max="4" width="7.85546875" bestFit="1" customWidth="1"/>
    <col min="5" max="5" width="9.7109375" bestFit="1" customWidth="1"/>
    <col min="6" max="7" width="9.42578125" bestFit="1" customWidth="1"/>
    <col min="8" max="8" width="9.7109375" bestFit="1" customWidth="1"/>
    <col min="9" max="9" width="10.7109375" bestFit="1" customWidth="1"/>
    <col min="10" max="11" width="12.7109375" bestFit="1" customWidth="1"/>
    <col min="12" max="12" width="10.42578125" customWidth="1"/>
    <col min="16" max="16" width="17.7109375" customWidth="1"/>
    <col min="17" max="17" width="12.7109375" customWidth="1"/>
    <col min="18" max="21" width="9.140625" customWidth="1"/>
    <col min="22" max="22" width="10.5703125" customWidth="1"/>
    <col min="23" max="23" width="9.140625" customWidth="1"/>
    <col min="24" max="24" width="7.85546875" customWidth="1"/>
    <col min="25" max="25" width="9.42578125" bestFit="1" customWidth="1"/>
    <col min="26" max="26" width="9.5703125" customWidth="1"/>
    <col min="27" max="27" width="10.5703125" customWidth="1"/>
    <col min="28" max="28" width="9" customWidth="1"/>
    <col min="29" max="29" width="9.5703125" customWidth="1"/>
    <col min="30" max="30" width="9.42578125" customWidth="1"/>
    <col min="31" max="31" width="9" customWidth="1"/>
    <col min="32" max="32" width="9.140625" customWidth="1"/>
  </cols>
  <sheetData>
    <row r="2" spans="1:31" ht="31.5" x14ac:dyDescent="0.25">
      <c r="A2" s="300" t="s">
        <v>319</v>
      </c>
      <c r="B2" s="260" t="s">
        <v>108</v>
      </c>
      <c r="C2" s="260" t="s">
        <v>107</v>
      </c>
      <c r="D2" s="260" t="s">
        <v>106</v>
      </c>
      <c r="E2" s="260" t="s">
        <v>105</v>
      </c>
      <c r="F2" s="260" t="s">
        <v>104</v>
      </c>
      <c r="G2" s="260" t="s">
        <v>103</v>
      </c>
      <c r="H2" s="260" t="s">
        <v>102</v>
      </c>
      <c r="I2" s="260" t="s">
        <v>82</v>
      </c>
      <c r="J2" s="260" t="s">
        <v>241</v>
      </c>
      <c r="K2" s="260" t="s">
        <v>79</v>
      </c>
      <c r="L2" s="260" t="s">
        <v>1</v>
      </c>
      <c r="M2" s="260" t="s">
        <v>270</v>
      </c>
      <c r="Q2" s="321" t="s">
        <v>108</v>
      </c>
      <c r="R2" s="321"/>
      <c r="S2" s="321"/>
      <c r="T2" s="321"/>
      <c r="U2" s="321"/>
      <c r="V2" s="321" t="s">
        <v>107</v>
      </c>
      <c r="W2" s="321"/>
      <c r="X2" s="321"/>
      <c r="Y2" s="321"/>
      <c r="Z2" s="321"/>
      <c r="AA2" s="321" t="s">
        <v>106</v>
      </c>
      <c r="AB2" s="321"/>
      <c r="AC2" s="321"/>
      <c r="AD2" s="321"/>
      <c r="AE2" s="321"/>
    </row>
    <row r="3" spans="1:31" ht="18" x14ac:dyDescent="0.25">
      <c r="A3" s="254" t="s">
        <v>222</v>
      </c>
      <c r="B3" s="262">
        <f>SUM(B4:B9)</f>
        <v>2.9053740000000006</v>
      </c>
      <c r="C3" s="262">
        <f>SUM(C4:C9)</f>
        <v>2.5632337000000001</v>
      </c>
      <c r="D3" s="262">
        <f>SUM(D4:D9)</f>
        <v>2.646989085</v>
      </c>
      <c r="E3" s="263">
        <v>2.9624403304999998</v>
      </c>
      <c r="F3" s="263">
        <v>4.2722600000000002</v>
      </c>
      <c r="G3" s="263">
        <v>4.6162100000000006</v>
      </c>
      <c r="H3" s="263">
        <v>5.1846999999999985</v>
      </c>
      <c r="I3" s="263">
        <v>4.0751100000000005</v>
      </c>
      <c r="J3" s="263">
        <v>3.9658800000000003</v>
      </c>
      <c r="K3" s="263">
        <v>4.4451399999999994</v>
      </c>
      <c r="L3" s="263">
        <v>4.2641227189542477</v>
      </c>
      <c r="M3" s="263">
        <v>4.3226289404582481</v>
      </c>
      <c r="Q3" s="254" t="s">
        <v>234</v>
      </c>
      <c r="R3" s="254" t="s">
        <v>254</v>
      </c>
      <c r="S3" s="254" t="s">
        <v>255</v>
      </c>
      <c r="T3" s="254" t="s">
        <v>314</v>
      </c>
      <c r="U3" s="254" t="s">
        <v>256</v>
      </c>
      <c r="V3" s="254" t="s">
        <v>234</v>
      </c>
      <c r="W3" s="254" t="s">
        <v>254</v>
      </c>
      <c r="X3" s="254" t="s">
        <v>255</v>
      </c>
      <c r="Y3" s="254" t="s">
        <v>314</v>
      </c>
      <c r="Z3" s="254" t="s">
        <v>256</v>
      </c>
      <c r="AA3" s="254" t="s">
        <v>234</v>
      </c>
      <c r="AB3" s="254" t="s">
        <v>254</v>
      </c>
      <c r="AC3" s="254" t="s">
        <v>255</v>
      </c>
      <c r="AD3" s="254" t="s">
        <v>314</v>
      </c>
      <c r="AE3" s="254" t="s">
        <v>256</v>
      </c>
    </row>
    <row r="4" spans="1:31" x14ac:dyDescent="0.25">
      <c r="A4" s="258" t="s">
        <v>26</v>
      </c>
      <c r="B4" s="264">
        <v>1.4551100000000006</v>
      </c>
      <c r="C4" s="264">
        <v>1.1485699999999999</v>
      </c>
      <c r="D4" s="264">
        <v>1.1753</v>
      </c>
      <c r="E4" s="265">
        <v>1.2667699999999997</v>
      </c>
      <c r="F4" s="265">
        <v>1.8971200000000001</v>
      </c>
      <c r="G4" s="265">
        <v>2.1240000000000006</v>
      </c>
      <c r="H4" s="265">
        <v>2.6058799999999995</v>
      </c>
      <c r="I4" s="265">
        <v>1.8950199999999999</v>
      </c>
      <c r="J4" s="265">
        <v>2.0122499999999999</v>
      </c>
      <c r="K4" s="265">
        <v>1.9902099999999998</v>
      </c>
      <c r="L4" s="265">
        <v>1.8263699999999998</v>
      </c>
      <c r="M4" s="265">
        <v>1.923122477932808</v>
      </c>
      <c r="P4" s="258" t="str">
        <f>+A20</f>
        <v>Field peas</v>
      </c>
      <c r="Q4" s="256">
        <f>Q11*1000</f>
        <v>1455.1100000000006</v>
      </c>
      <c r="R4" s="257">
        <v>143.8176</v>
      </c>
      <c r="S4" s="257">
        <v>267.51960000000003</v>
      </c>
      <c r="T4" s="257">
        <f>T11*1000</f>
        <v>1331.4080000000006</v>
      </c>
      <c r="U4" s="257">
        <f t="shared" ref="U4:U7" si="0">U11*1000</f>
        <v>987.65962727394094</v>
      </c>
      <c r="V4" s="257">
        <f>V11*1000</f>
        <v>1148.57</v>
      </c>
      <c r="W4" s="257">
        <v>388.48550000000006</v>
      </c>
      <c r="X4" s="257">
        <v>106.795</v>
      </c>
      <c r="Y4" s="257">
        <f t="shared" ref="Y4:Z4" si="1">Y11*1000</f>
        <v>1430.2604999999999</v>
      </c>
      <c r="Z4" s="257">
        <f t="shared" si="1"/>
        <v>1022.3354205642912</v>
      </c>
      <c r="AA4" s="256">
        <f>AA11*1000</f>
        <v>1175.3</v>
      </c>
      <c r="AB4" s="257">
        <v>189.13839999999999</v>
      </c>
      <c r="AC4" s="257">
        <v>88.615899999999996</v>
      </c>
      <c r="AD4" s="257">
        <f t="shared" ref="AD4:AE4" si="2">AD11*1000</f>
        <v>1275.8225</v>
      </c>
      <c r="AE4" s="257">
        <f t="shared" si="2"/>
        <v>900.16010820652559</v>
      </c>
    </row>
    <row r="5" spans="1:31" x14ac:dyDescent="0.25">
      <c r="A5" s="258" t="s">
        <v>27</v>
      </c>
      <c r="B5" s="264">
        <v>0.73054999999999992</v>
      </c>
      <c r="C5" s="264">
        <v>0.66957</v>
      </c>
      <c r="D5" s="264">
        <v>0.63252999999999993</v>
      </c>
      <c r="E5" s="265">
        <v>0.79602000000000006</v>
      </c>
      <c r="F5" s="265">
        <v>1.2234499999999995</v>
      </c>
      <c r="G5" s="265">
        <v>1.27152</v>
      </c>
      <c r="H5" s="265">
        <v>1.3825700000000001</v>
      </c>
      <c r="I5" s="265">
        <v>0.99661</v>
      </c>
      <c r="J5" s="265">
        <v>1.0331899999999998</v>
      </c>
      <c r="K5" s="265">
        <v>1.2559299999999998</v>
      </c>
      <c r="L5" s="265">
        <v>1.1206799999999999</v>
      </c>
      <c r="M5" s="265">
        <v>1.1361973295367085</v>
      </c>
      <c r="P5" s="258" t="str">
        <f t="shared" ref="P5" si="3">+A21</f>
        <v>Broad beans</v>
      </c>
      <c r="Q5" s="256">
        <f>Q12*1000</f>
        <v>730.55</v>
      </c>
      <c r="R5" s="257">
        <v>28.815799999999996</v>
      </c>
      <c r="S5" s="257">
        <v>236.05109999999996</v>
      </c>
      <c r="T5" s="257">
        <f t="shared" ref="T5" si="4">T12*1000</f>
        <v>523.3146999999999</v>
      </c>
      <c r="U5" s="257">
        <f t="shared" si="0"/>
        <v>159.07714512864507</v>
      </c>
      <c r="V5" s="257">
        <f>V12*1000</f>
        <v>669.57</v>
      </c>
      <c r="W5" s="257">
        <v>16.4376</v>
      </c>
      <c r="X5" s="257">
        <v>206.08770000000001</v>
      </c>
      <c r="Y5" s="257">
        <f t="shared" ref="Y5:Z5" si="5">Y12*1000</f>
        <v>479.91990000000004</v>
      </c>
      <c r="Z5" s="257">
        <f t="shared" si="5"/>
        <v>157.20799284952187</v>
      </c>
      <c r="AA5" s="256">
        <f>AA12*1000</f>
        <v>632.53</v>
      </c>
      <c r="AB5" s="257">
        <v>20.956900000000001</v>
      </c>
      <c r="AC5" s="257">
        <v>144.07389999999998</v>
      </c>
      <c r="AD5" s="257">
        <f t="shared" ref="AD5:AE5" si="6">AD12*1000</f>
        <v>509.4129999999999</v>
      </c>
      <c r="AE5" s="257">
        <f t="shared" si="6"/>
        <v>251.40310602256832</v>
      </c>
    </row>
    <row r="6" spans="1:31" x14ac:dyDescent="0.25">
      <c r="A6" s="258" t="s">
        <v>320</v>
      </c>
      <c r="B6" s="264"/>
      <c r="C6" s="264"/>
      <c r="D6" s="264"/>
      <c r="E6" s="265">
        <v>4.9299999999999997E-2</v>
      </c>
      <c r="F6" s="265">
        <v>5.9420000000000001E-2</v>
      </c>
      <c r="G6" s="265">
        <v>7.5299999999999992E-2</v>
      </c>
      <c r="H6" s="265">
        <v>8.8450000000000001E-2</v>
      </c>
      <c r="I6" s="265">
        <v>0.11378000000000001</v>
      </c>
      <c r="J6" s="265">
        <v>0.11025</v>
      </c>
      <c r="K6" s="265">
        <v>0.11594</v>
      </c>
      <c r="L6" s="265">
        <v>0.13166</v>
      </c>
      <c r="M6" s="265">
        <v>0.11332333333333333</v>
      </c>
      <c r="P6" s="258" t="str">
        <f>+A23</f>
        <v>Lupins</v>
      </c>
      <c r="Q6" s="256">
        <f>Q13*1000</f>
        <v>132.41</v>
      </c>
      <c r="R6" s="257">
        <v>83.207800000000006</v>
      </c>
      <c r="S6" s="257">
        <v>0.14830000000000002</v>
      </c>
      <c r="T6" s="257">
        <f t="shared" ref="T6" si="7">T13*1000</f>
        <v>215.46950000000004</v>
      </c>
      <c r="U6" s="257">
        <f t="shared" si="0"/>
        <v>215.46950000000004</v>
      </c>
      <c r="V6" s="257">
        <f>V13*1000</f>
        <v>129.99</v>
      </c>
      <c r="W6" s="257">
        <v>104.73359999999998</v>
      </c>
      <c r="X6" s="257">
        <v>0.22830000000000003</v>
      </c>
      <c r="Y6" s="257">
        <f t="shared" ref="Y6:Z6" si="8">Y13*1000</f>
        <v>234.49530000000001</v>
      </c>
      <c r="Z6" s="257">
        <f t="shared" si="8"/>
        <v>234.49530000000001</v>
      </c>
      <c r="AA6" s="256">
        <f>AA13*1000</f>
        <v>153.01999999999998</v>
      </c>
      <c r="AB6" s="257">
        <v>52.28779999999999</v>
      </c>
      <c r="AC6" s="257">
        <v>0.3135</v>
      </c>
      <c r="AD6" s="257">
        <f t="shared" ref="AD6:AE6" si="9">AD13*1000</f>
        <v>204.99429999999998</v>
      </c>
      <c r="AE6" s="257">
        <f t="shared" si="9"/>
        <v>204.99429999999998</v>
      </c>
    </row>
    <row r="7" spans="1:31" x14ac:dyDescent="0.25">
      <c r="A7" s="258" t="s">
        <v>28</v>
      </c>
      <c r="B7" s="264">
        <v>0.13241</v>
      </c>
      <c r="C7" s="264">
        <v>0.12999000000000002</v>
      </c>
      <c r="D7" s="264">
        <v>0.15301999999999999</v>
      </c>
      <c r="E7" s="265">
        <v>0.20946000000000001</v>
      </c>
      <c r="F7" s="265">
        <v>0.36370999999999998</v>
      </c>
      <c r="G7" s="265">
        <v>0.29632999999999998</v>
      </c>
      <c r="H7" s="265">
        <v>0.26364000000000004</v>
      </c>
      <c r="I7" s="265">
        <v>0.18598000000000001</v>
      </c>
      <c r="J7" s="265">
        <v>0.2145</v>
      </c>
      <c r="K7" s="265">
        <v>0.34627999999999998</v>
      </c>
      <c r="L7" s="265">
        <v>0.32272999999999996</v>
      </c>
      <c r="M7" s="265">
        <v>0.28955512488594626</v>
      </c>
      <c r="P7" s="259" t="s">
        <v>257</v>
      </c>
      <c r="Q7" s="256">
        <f>Q14*1000</f>
        <v>587.30400000000009</v>
      </c>
      <c r="R7" s="257">
        <v>594.17949999999996</v>
      </c>
      <c r="S7" s="257">
        <v>34.585900000000002</v>
      </c>
      <c r="T7" s="257">
        <f t="shared" ref="T7" si="10">T14*1000</f>
        <v>1146.8976000000002</v>
      </c>
      <c r="U7" s="257">
        <f t="shared" si="0"/>
        <v>426.73663582015456</v>
      </c>
      <c r="V7" s="257">
        <f>V14*1000</f>
        <v>615.10370000000023</v>
      </c>
      <c r="W7" s="257">
        <v>700.61570000000006</v>
      </c>
      <c r="X7" s="257">
        <v>38.402499999999996</v>
      </c>
      <c r="Y7" s="257">
        <f t="shared" ref="Y7:Z7" si="11">Y14*1000</f>
        <v>1277.3169000000005</v>
      </c>
      <c r="Z7" s="257">
        <f t="shared" si="11"/>
        <v>611.4540876810928</v>
      </c>
      <c r="AA7" s="256">
        <f>AA14*1000</f>
        <v>686.13908499999991</v>
      </c>
      <c r="AB7" s="257">
        <v>664.67690000000005</v>
      </c>
      <c r="AC7" s="257">
        <v>35.082700000000003</v>
      </c>
      <c r="AD7" s="257">
        <f t="shared" ref="AD7:AE7" si="12">AD14*1000</f>
        <v>1315.7332849999998</v>
      </c>
      <c r="AE7" s="257">
        <f t="shared" si="12"/>
        <v>551.77554859571012</v>
      </c>
    </row>
    <row r="8" spans="1:31" x14ac:dyDescent="0.25">
      <c r="A8" s="258" t="s">
        <v>321</v>
      </c>
      <c r="B8" s="264"/>
      <c r="C8" s="264"/>
      <c r="D8" s="264"/>
      <c r="E8" s="265">
        <v>7.0449999999999999E-2</v>
      </c>
      <c r="F8" s="265">
        <v>7.3889999999999997E-2</v>
      </c>
      <c r="G8" s="265">
        <v>9.756999999999999E-2</v>
      </c>
      <c r="H8" s="265">
        <v>0.17219000000000001</v>
      </c>
      <c r="I8" s="265">
        <v>0.20537</v>
      </c>
      <c r="J8" s="265">
        <v>0.17280000000000001</v>
      </c>
      <c r="K8" s="265">
        <v>0.13741</v>
      </c>
      <c r="L8" s="265">
        <v>0.18115999999999999</v>
      </c>
      <c r="M8" s="265">
        <v>0.17538333333333336</v>
      </c>
      <c r="P8" s="136"/>
      <c r="Q8" s="136"/>
      <c r="R8" s="136"/>
      <c r="S8" s="136"/>
      <c r="T8" s="136"/>
      <c r="U8" s="136"/>
      <c r="AA8" s="136"/>
      <c r="AB8" s="136"/>
      <c r="AC8" s="136"/>
      <c r="AD8" s="136"/>
      <c r="AE8" s="136"/>
    </row>
    <row r="9" spans="1:31" x14ac:dyDescent="0.25">
      <c r="A9" s="258" t="s">
        <v>322</v>
      </c>
      <c r="B9" s="264">
        <v>0.58730400000000005</v>
      </c>
      <c r="C9" s="264">
        <v>0.61510370000000025</v>
      </c>
      <c r="D9" s="264">
        <v>0.68613908499999987</v>
      </c>
      <c r="E9" s="265">
        <v>0.57044033049999987</v>
      </c>
      <c r="F9" s="265">
        <v>0.65467000000000009</v>
      </c>
      <c r="G9" s="265">
        <v>0.75148999999999999</v>
      </c>
      <c r="H9" s="265">
        <v>0.67196999999999985</v>
      </c>
      <c r="I9" s="265">
        <v>0.67835000000000012</v>
      </c>
      <c r="J9" s="265">
        <v>0.4228900000000001</v>
      </c>
      <c r="K9" s="265">
        <v>0.59937000000000007</v>
      </c>
      <c r="L9" s="265">
        <v>0.68152271895424843</v>
      </c>
      <c r="M9" s="265">
        <v>0.68504734143611934</v>
      </c>
    </row>
    <row r="10" spans="1:31" ht="18" x14ac:dyDescent="0.25">
      <c r="Q10" s="254" t="str">
        <f t="shared" ref="Q10" si="13">+Q3</f>
        <v>production</v>
      </c>
      <c r="R10" s="254" t="s">
        <v>254</v>
      </c>
      <c r="S10" s="254" t="s">
        <v>255</v>
      </c>
      <c r="T10" s="254" t="s">
        <v>314</v>
      </c>
      <c r="U10" s="254" t="s">
        <v>256</v>
      </c>
      <c r="V10" s="254" t="str">
        <f t="shared" ref="V10" si="14">+V3</f>
        <v>production</v>
      </c>
      <c r="W10" s="254" t="s">
        <v>254</v>
      </c>
      <c r="X10" s="254" t="s">
        <v>255</v>
      </c>
      <c r="Y10" s="254" t="s">
        <v>314</v>
      </c>
      <c r="Z10" s="254" t="s">
        <v>256</v>
      </c>
      <c r="AA10" s="254" t="str">
        <f t="shared" ref="AA10" si="15">+AA3</f>
        <v>production</v>
      </c>
      <c r="AB10" s="254" t="s">
        <v>254</v>
      </c>
      <c r="AC10" s="254" t="s">
        <v>255</v>
      </c>
      <c r="AD10" s="254" t="s">
        <v>314</v>
      </c>
      <c r="AE10" s="254" t="s">
        <v>256</v>
      </c>
    </row>
    <row r="11" spans="1:31" x14ac:dyDescent="0.25">
      <c r="A11" s="254" t="s">
        <v>226</v>
      </c>
      <c r="B11" s="262">
        <f>SUM(B12:B17)</f>
        <v>3.217089800000001</v>
      </c>
      <c r="C11" s="262">
        <f>SUM(C12:C17)</f>
        <v>3.4219926000000003</v>
      </c>
      <c r="D11" s="262">
        <f>SUM(D12:D17)</f>
        <v>3.3059630850000001</v>
      </c>
      <c r="E11" s="263">
        <v>3.5797722444999995</v>
      </c>
      <c r="F11" s="263">
        <v>4.3116373209999992</v>
      </c>
      <c r="G11" s="263">
        <v>4.5528519260000015</v>
      </c>
      <c r="H11" s="263">
        <v>5.5843285700000003</v>
      </c>
      <c r="I11" s="263">
        <v>5.1441787320000003</v>
      </c>
      <c r="J11" s="263">
        <v>4.8403027019999998</v>
      </c>
      <c r="K11" s="263">
        <v>5.4252807399999989</v>
      </c>
      <c r="L11" s="263">
        <v>5.3671230869542477</v>
      </c>
      <c r="M11" s="263">
        <v>5.2832059264582494</v>
      </c>
      <c r="P11" s="258" t="str">
        <f>+P4</f>
        <v>Field peas</v>
      </c>
      <c r="Q11" s="256">
        <v>1.4551100000000006</v>
      </c>
      <c r="R11" s="257">
        <f t="shared" ref="R11:AC11" si="16">+R4/1000</f>
        <v>0.14381759999999999</v>
      </c>
      <c r="S11" s="257">
        <f>+S4/1000</f>
        <v>0.26751960000000002</v>
      </c>
      <c r="T11" s="257">
        <f>Q11+R11-S11</f>
        <v>1.3314080000000006</v>
      </c>
      <c r="U11" s="257">
        <f>+T11*Q22</f>
        <v>0.98765962727394097</v>
      </c>
      <c r="V11" s="257">
        <v>1.1485699999999999</v>
      </c>
      <c r="W11" s="257">
        <f t="shared" si="16"/>
        <v>0.38848550000000004</v>
      </c>
      <c r="X11" s="257">
        <f t="shared" si="16"/>
        <v>0.106795</v>
      </c>
      <c r="Y11" s="257">
        <f>+V11+W11-X11</f>
        <v>1.4302604999999999</v>
      </c>
      <c r="Z11" s="257">
        <f>+Y11*R22</f>
        <v>1.0223354205642912</v>
      </c>
      <c r="AA11" s="256">
        <v>1.1753</v>
      </c>
      <c r="AB11" s="257">
        <f t="shared" si="16"/>
        <v>0.18913839999999998</v>
      </c>
      <c r="AC11" s="257">
        <f t="shared" si="16"/>
        <v>8.8615899999999997E-2</v>
      </c>
      <c r="AD11" s="257">
        <f>AA11+AB11-AC11</f>
        <v>1.2758225000000001</v>
      </c>
      <c r="AE11" s="257">
        <f>+AD11*S22</f>
        <v>0.90016010820652559</v>
      </c>
    </row>
    <row r="12" spans="1:31" x14ac:dyDescent="0.25">
      <c r="A12" s="258" t="s">
        <v>26</v>
      </c>
      <c r="B12" s="257">
        <f>T11</f>
        <v>1.3314080000000006</v>
      </c>
      <c r="C12" s="257">
        <f>Y11</f>
        <v>1.4302604999999999</v>
      </c>
      <c r="D12" s="257">
        <f>AD11</f>
        <v>1.2758225000000001</v>
      </c>
      <c r="E12" s="265">
        <v>1.3202130969999999</v>
      </c>
      <c r="F12" s="265">
        <v>1.469008667</v>
      </c>
      <c r="G12" s="265">
        <v>1.5422411180000009</v>
      </c>
      <c r="H12" s="265">
        <v>2.3549635879999995</v>
      </c>
      <c r="I12" s="265">
        <v>2.3390526660000002</v>
      </c>
      <c r="J12" s="265">
        <v>2.1704849230000001</v>
      </c>
      <c r="K12" s="265">
        <v>2.3362142119999998</v>
      </c>
      <c r="L12" s="265">
        <v>2.1633705609999998</v>
      </c>
      <c r="M12" s="265">
        <v>2.2118881472661416</v>
      </c>
      <c r="P12" s="258" t="str">
        <f>+P5</f>
        <v>Broad beans</v>
      </c>
      <c r="Q12" s="256">
        <v>0.73054999999999992</v>
      </c>
      <c r="R12" s="257">
        <f>+R5/1000</f>
        <v>2.8815799999999996E-2</v>
      </c>
      <c r="S12" s="257">
        <f>+S5/1000</f>
        <v>0.23605109999999996</v>
      </c>
      <c r="T12" s="257">
        <f>Q12+R12-S12</f>
        <v>0.52331469999999991</v>
      </c>
      <c r="U12" s="257">
        <f>+T12*Q23</f>
        <v>0.15907714512864507</v>
      </c>
      <c r="V12" s="257">
        <v>0.66957</v>
      </c>
      <c r="W12" s="257">
        <f t="shared" ref="W12:X14" si="17">+W5/1000</f>
        <v>1.64376E-2</v>
      </c>
      <c r="X12" s="257">
        <f t="shared" si="17"/>
        <v>0.20608770000000001</v>
      </c>
      <c r="Y12" s="257">
        <f t="shared" ref="Y12:Y14" si="18">+V12+W12-X12</f>
        <v>0.47991990000000007</v>
      </c>
      <c r="Z12" s="257">
        <f>+Y12*R23</f>
        <v>0.15720799284952186</v>
      </c>
      <c r="AA12" s="256">
        <v>0.63252999999999993</v>
      </c>
      <c r="AB12" s="257">
        <f t="shared" ref="AB12:AC14" si="19">+AB5/1000</f>
        <v>2.0956900000000001E-2</v>
      </c>
      <c r="AC12" s="257">
        <f t="shared" si="19"/>
        <v>0.14407389999999998</v>
      </c>
      <c r="AD12" s="257">
        <f>AA12+AB12-AC12</f>
        <v>0.50941299999999989</v>
      </c>
      <c r="AE12" s="257">
        <f>+AD12*S23</f>
        <v>0.25140310602256832</v>
      </c>
    </row>
    <row r="13" spans="1:31" x14ac:dyDescent="0.25">
      <c r="A13" s="258" t="s">
        <v>27</v>
      </c>
      <c r="B13" s="257">
        <f>T12</f>
        <v>0.52331469999999991</v>
      </c>
      <c r="C13" s="257">
        <f>Y12</f>
        <v>0.47991990000000007</v>
      </c>
      <c r="D13" s="257">
        <f>AD12</f>
        <v>0.50941299999999989</v>
      </c>
      <c r="E13" s="265">
        <v>0.67379581900000018</v>
      </c>
      <c r="F13" s="265">
        <v>0.97044976499999946</v>
      </c>
      <c r="G13" s="265">
        <v>1.0359233050000001</v>
      </c>
      <c r="H13" s="265">
        <v>1.1942459230000002</v>
      </c>
      <c r="I13" s="265">
        <v>0.74323361900000007</v>
      </c>
      <c r="J13" s="265">
        <v>0.88473761299999976</v>
      </c>
      <c r="K13" s="265">
        <v>1.0090230449999997</v>
      </c>
      <c r="L13" s="265">
        <v>1.0219537319999998</v>
      </c>
      <c r="M13" s="265">
        <v>0.94163618987004205</v>
      </c>
      <c r="P13" s="258" t="str">
        <f>+P6</f>
        <v>Lupins</v>
      </c>
      <c r="Q13" s="256">
        <v>0.13241</v>
      </c>
      <c r="R13" s="257">
        <f>+R6/1000</f>
        <v>8.3207800000000012E-2</v>
      </c>
      <c r="S13" s="257">
        <f>+S6/1000</f>
        <v>1.4830000000000003E-4</v>
      </c>
      <c r="T13" s="257">
        <f>Q13+R13-S13</f>
        <v>0.21546950000000004</v>
      </c>
      <c r="U13" s="257">
        <f>+T13*Q24</f>
        <v>0.21546950000000004</v>
      </c>
      <c r="V13" s="257">
        <v>0.12999000000000002</v>
      </c>
      <c r="W13" s="257">
        <f t="shared" si="17"/>
        <v>0.10473359999999998</v>
      </c>
      <c r="X13" s="257">
        <f t="shared" si="17"/>
        <v>2.2830000000000002E-4</v>
      </c>
      <c r="Y13" s="257">
        <f t="shared" si="18"/>
        <v>0.23449530000000002</v>
      </c>
      <c r="Z13" s="257">
        <f>+Y13*R24</f>
        <v>0.23449530000000002</v>
      </c>
      <c r="AA13" s="256">
        <v>0.15301999999999999</v>
      </c>
      <c r="AB13" s="257">
        <f t="shared" si="19"/>
        <v>5.2287799999999988E-2</v>
      </c>
      <c r="AC13" s="257">
        <f t="shared" si="19"/>
        <v>3.1349999999999998E-4</v>
      </c>
      <c r="AD13" s="257">
        <f>AA13+AB13-AC13</f>
        <v>0.20499429999999999</v>
      </c>
      <c r="AE13" s="257">
        <f>+AD13*S24</f>
        <v>0.20499429999999999</v>
      </c>
    </row>
    <row r="14" spans="1:31" x14ac:dyDescent="0.25">
      <c r="A14" s="258" t="s">
        <v>320</v>
      </c>
      <c r="B14" s="255"/>
      <c r="C14" s="255"/>
      <c r="D14" s="255"/>
      <c r="E14" s="265">
        <v>0.21653207899999996</v>
      </c>
      <c r="F14" s="265">
        <v>0.23581567000000003</v>
      </c>
      <c r="G14" s="265">
        <v>0.28564031200000001</v>
      </c>
      <c r="H14" s="265">
        <v>0.29179198200000001</v>
      </c>
      <c r="I14" s="265">
        <v>0.30395075300000002</v>
      </c>
      <c r="J14" s="265">
        <v>0.32860216600000003</v>
      </c>
      <c r="K14" s="265">
        <v>0.32669304500000002</v>
      </c>
      <c r="L14" s="265">
        <v>0.32304869299999994</v>
      </c>
      <c r="M14" s="265">
        <v>0.31515124</v>
      </c>
      <c r="P14" s="259" t="str">
        <f>+P7</f>
        <v xml:space="preserve">Other pulses </v>
      </c>
      <c r="Q14" s="256">
        <v>0.58730400000000005</v>
      </c>
      <c r="R14" s="257">
        <f>+R7/1000</f>
        <v>0.59417949999999997</v>
      </c>
      <c r="S14" s="257">
        <f>+S7/1000</f>
        <v>3.4585900000000003E-2</v>
      </c>
      <c r="T14" s="257">
        <f>Q14+R14-S14</f>
        <v>1.1468976000000002</v>
      </c>
      <c r="U14" s="257">
        <f>+T14*Q25</f>
        <v>0.42673663582015459</v>
      </c>
      <c r="V14" s="257">
        <v>0.61510370000000025</v>
      </c>
      <c r="W14" s="257">
        <f t="shared" si="17"/>
        <v>0.70061570000000006</v>
      </c>
      <c r="X14" s="257">
        <f t="shared" si="17"/>
        <v>3.8402499999999999E-2</v>
      </c>
      <c r="Y14" s="257">
        <f t="shared" si="18"/>
        <v>1.2773169000000004</v>
      </c>
      <c r="Z14" s="257">
        <f>+Y14*R25</f>
        <v>0.61145408768109277</v>
      </c>
      <c r="AA14" s="256">
        <v>0.68613908499999987</v>
      </c>
      <c r="AB14" s="257">
        <f t="shared" si="19"/>
        <v>0.66467690000000001</v>
      </c>
      <c r="AC14" s="257">
        <f t="shared" si="19"/>
        <v>3.5082700000000001E-2</v>
      </c>
      <c r="AD14" s="257">
        <f>AA14+AB14-AC14</f>
        <v>1.3157332849999999</v>
      </c>
      <c r="AE14" s="257">
        <f>+AD14*S25</f>
        <v>0.5517755485957101</v>
      </c>
    </row>
    <row r="15" spans="1:31" x14ac:dyDescent="0.25">
      <c r="A15" s="258" t="s">
        <v>28</v>
      </c>
      <c r="B15" s="257">
        <f>T13</f>
        <v>0.21546950000000004</v>
      </c>
      <c r="C15" s="257">
        <f>Y13</f>
        <v>0.23449530000000002</v>
      </c>
      <c r="D15" s="257">
        <f>AD13</f>
        <v>0.20499429999999999</v>
      </c>
      <c r="E15" s="265">
        <v>0.28270088000000004</v>
      </c>
      <c r="F15" s="265">
        <v>0.45261447400000004</v>
      </c>
      <c r="G15" s="265">
        <v>0.44403649999999995</v>
      </c>
      <c r="H15" s="265">
        <v>0.46538676399999995</v>
      </c>
      <c r="I15" s="265">
        <v>0.40781549899999997</v>
      </c>
      <c r="J15" s="265">
        <v>0.38325760600000003</v>
      </c>
      <c r="K15" s="265">
        <v>0.52996080499999998</v>
      </c>
      <c r="L15" s="265">
        <v>0.52894755500000001</v>
      </c>
      <c r="M15" s="265">
        <v>0.48675034988594629</v>
      </c>
    </row>
    <row r="16" spans="1:31" x14ac:dyDescent="0.25">
      <c r="A16" s="258" t="s">
        <v>321</v>
      </c>
      <c r="B16" s="255"/>
      <c r="C16" s="255"/>
      <c r="D16" s="255"/>
      <c r="E16" s="265">
        <v>0.16541300700000003</v>
      </c>
      <c r="F16" s="265">
        <v>0.176422093</v>
      </c>
      <c r="G16" s="265">
        <v>0.19710264599999999</v>
      </c>
      <c r="H16" s="265">
        <v>0.265505624</v>
      </c>
      <c r="I16" s="265">
        <v>0.333731061</v>
      </c>
      <c r="J16" s="265">
        <v>0.29963932699999996</v>
      </c>
      <c r="K16" s="265">
        <v>0.24706784599999995</v>
      </c>
      <c r="L16" s="265">
        <v>0.27552684699999996</v>
      </c>
      <c r="M16" s="265">
        <v>0.28764631299999999</v>
      </c>
    </row>
    <row r="17" spans="1:26" x14ac:dyDescent="0.25">
      <c r="A17" s="258" t="s">
        <v>322</v>
      </c>
      <c r="B17" s="257">
        <f>T14</f>
        <v>1.1468976000000002</v>
      </c>
      <c r="C17" s="257">
        <f>Y14</f>
        <v>1.2773169000000004</v>
      </c>
      <c r="D17" s="257">
        <f>AD14</f>
        <v>1.3157332849999999</v>
      </c>
      <c r="E17" s="265">
        <v>0.92111736249999976</v>
      </c>
      <c r="F17" s="265">
        <v>1.0073266520000002</v>
      </c>
      <c r="G17" s="265">
        <v>1.0479080450000002</v>
      </c>
      <c r="H17" s="265">
        <v>1.0124346889999998</v>
      </c>
      <c r="I17" s="265">
        <v>1.0163951339999999</v>
      </c>
      <c r="J17" s="265">
        <v>0.77358106700000007</v>
      </c>
      <c r="K17" s="265">
        <v>0.97632178700000005</v>
      </c>
      <c r="L17" s="265">
        <v>1.0542756989542483</v>
      </c>
      <c r="M17" s="265">
        <v>1.0401336864361193</v>
      </c>
    </row>
    <row r="18" spans="1:26" x14ac:dyDescent="0.25">
      <c r="B18" s="235"/>
      <c r="C18" s="235"/>
      <c r="D18" s="235"/>
      <c r="E18" s="7"/>
      <c r="F18" s="7"/>
      <c r="G18" s="7"/>
      <c r="H18" s="7"/>
      <c r="I18" s="7"/>
      <c r="J18" s="7"/>
      <c r="K18" s="7"/>
      <c r="L18" s="7"/>
      <c r="M18" s="7"/>
    </row>
    <row r="19" spans="1:26" x14ac:dyDescent="0.25">
      <c r="A19" s="254" t="s">
        <v>229</v>
      </c>
      <c r="B19" s="262">
        <f>SUM(B20:B25)</f>
        <v>0.85002069999999996</v>
      </c>
      <c r="C19" s="262">
        <f>SUM(C20:C25)</f>
        <v>1.2102724</v>
      </c>
      <c r="D19" s="262">
        <f>SUM(D20:D25)</f>
        <v>0.92706</v>
      </c>
      <c r="E19" s="263">
        <v>0.88856483499999994</v>
      </c>
      <c r="F19" s="263">
        <v>0.845707392</v>
      </c>
      <c r="G19" s="263">
        <v>0.98322056999999996</v>
      </c>
      <c r="H19" s="263">
        <v>1.4258719790000001</v>
      </c>
      <c r="I19" s="263">
        <v>1.6797314640000001</v>
      </c>
      <c r="J19" s="263">
        <v>1.4244724790000001</v>
      </c>
      <c r="K19" s="263">
        <v>1.581418244</v>
      </c>
      <c r="L19" s="263">
        <v>1.6101612919999997</v>
      </c>
      <c r="M19" s="263">
        <v>1.536288354666667</v>
      </c>
    </row>
    <row r="20" spans="1:26" x14ac:dyDescent="0.25">
      <c r="A20" s="258" t="s">
        <v>26</v>
      </c>
      <c r="B20" s="257">
        <f>R11</f>
        <v>0.14381759999999999</v>
      </c>
      <c r="C20" s="257">
        <f>W11</f>
        <v>0.38848550000000004</v>
      </c>
      <c r="D20" s="257">
        <f>AB11</f>
        <v>0.18913839999999998</v>
      </c>
      <c r="E20" s="265">
        <v>0.15706675299999998</v>
      </c>
      <c r="F20" s="265">
        <v>6.0517906000000003E-2</v>
      </c>
      <c r="G20" s="265">
        <v>0.14140654999999999</v>
      </c>
      <c r="H20" s="265">
        <v>0.417237372</v>
      </c>
      <c r="I20" s="265">
        <v>0.66574429899999998</v>
      </c>
      <c r="J20" s="265">
        <v>0.38541254300000005</v>
      </c>
      <c r="K20" s="265">
        <v>0.57360546300000015</v>
      </c>
      <c r="L20" s="265">
        <v>0.55194467699999994</v>
      </c>
      <c r="M20" s="265">
        <v>0.51426250400000018</v>
      </c>
    </row>
    <row r="21" spans="1:26" x14ac:dyDescent="0.25">
      <c r="A21" s="258" t="s">
        <v>27</v>
      </c>
      <c r="B21" s="257">
        <f>R12</f>
        <v>2.8815799999999996E-2</v>
      </c>
      <c r="C21" s="257">
        <f>W12</f>
        <v>1.64376E-2</v>
      </c>
      <c r="D21" s="257">
        <f>AB12</f>
        <v>2.0956900000000001E-2</v>
      </c>
      <c r="E21" s="265">
        <v>1.5176505999999999E-2</v>
      </c>
      <c r="F21" s="265">
        <v>2.3320551999999994E-2</v>
      </c>
      <c r="G21" s="265">
        <v>3.5720119999999994E-2</v>
      </c>
      <c r="H21" s="265">
        <v>0.10938927900000002</v>
      </c>
      <c r="I21" s="265">
        <v>7.8071396999999987E-2</v>
      </c>
      <c r="J21" s="265">
        <v>0.11322052900000001</v>
      </c>
      <c r="K21" s="265">
        <v>8.2154631999999991E-2</v>
      </c>
      <c r="L21" s="265">
        <v>0.14422502300000001</v>
      </c>
      <c r="M21" s="265">
        <v>0.10158814666666667</v>
      </c>
      <c r="P21" s="254" t="s">
        <v>258</v>
      </c>
      <c r="Q21" s="260">
        <v>2011</v>
      </c>
      <c r="R21" s="260">
        <v>2012</v>
      </c>
      <c r="S21" s="260">
        <v>2013</v>
      </c>
      <c r="T21" s="260">
        <v>2014</v>
      </c>
      <c r="U21" s="260">
        <v>2015</v>
      </c>
      <c r="V21" s="260">
        <v>2016</v>
      </c>
      <c r="W21" s="260">
        <v>2017</v>
      </c>
      <c r="X21" s="260">
        <v>2018</v>
      </c>
      <c r="Y21" s="260">
        <v>2019</v>
      </c>
      <c r="Z21" s="260">
        <v>2020</v>
      </c>
    </row>
    <row r="22" spans="1:26" x14ac:dyDescent="0.25">
      <c r="A22" s="258" t="s">
        <v>320</v>
      </c>
      <c r="B22" s="255"/>
      <c r="C22" s="255"/>
      <c r="D22" s="255"/>
      <c r="E22" s="265">
        <v>0.17369767699999997</v>
      </c>
      <c r="F22" s="265">
        <v>0.18142226900000002</v>
      </c>
      <c r="G22" s="265">
        <v>0.21658421299999997</v>
      </c>
      <c r="H22" s="265">
        <v>0.209073024</v>
      </c>
      <c r="I22" s="265">
        <v>0.19557262200000003</v>
      </c>
      <c r="J22" s="265">
        <v>0.226556761</v>
      </c>
      <c r="K22" s="265">
        <v>0.21772137</v>
      </c>
      <c r="L22" s="265">
        <v>0.19771367699999995</v>
      </c>
      <c r="M22" s="265">
        <v>0.208169357</v>
      </c>
      <c r="P22" s="258" t="s">
        <v>315</v>
      </c>
      <c r="Q22" s="261">
        <v>0.74181590261883701</v>
      </c>
      <c r="R22" s="261">
        <v>0.7147896628371484</v>
      </c>
      <c r="S22" s="261">
        <v>0.70555277729192389</v>
      </c>
      <c r="T22" s="261">
        <v>0.75186386343090794</v>
      </c>
      <c r="U22" s="261">
        <v>0.76298595019416349</v>
      </c>
      <c r="V22" s="261">
        <v>0.72819476183651377</v>
      </c>
      <c r="W22" s="261">
        <v>0.79409325584248502</v>
      </c>
      <c r="X22" s="261">
        <f>+(SUM(S22:W22)-MIN(S22:W22)-MAX(S22:W22))/3</f>
        <v>0.74768152515386177</v>
      </c>
      <c r="Y22" s="261">
        <f>+X22</f>
        <v>0.74768152515386177</v>
      </c>
      <c r="Z22" s="261">
        <f>+Y22</f>
        <v>0.74768152515386177</v>
      </c>
    </row>
    <row r="23" spans="1:26" x14ac:dyDescent="0.25">
      <c r="A23" s="258" t="s">
        <v>28</v>
      </c>
      <c r="B23" s="257">
        <f>R13</f>
        <v>8.3207800000000012E-2</v>
      </c>
      <c r="C23" s="257">
        <f>W13</f>
        <v>0.10473359999999998</v>
      </c>
      <c r="D23" s="257">
        <f>AB13</f>
        <v>5.2287799999999988E-2</v>
      </c>
      <c r="E23" s="265">
        <v>7.3481091000000026E-2</v>
      </c>
      <c r="F23" s="265">
        <v>8.9158913000000006E-2</v>
      </c>
      <c r="G23" s="265">
        <v>0.14798436400000001</v>
      </c>
      <c r="H23" s="265">
        <v>0.20184725699999997</v>
      </c>
      <c r="I23" s="265">
        <v>0.22201702600000001</v>
      </c>
      <c r="J23" s="265">
        <v>0.16900570199999998</v>
      </c>
      <c r="K23" s="265">
        <v>0.183858204</v>
      </c>
      <c r="L23" s="265">
        <v>0.20648723599999999</v>
      </c>
      <c r="M23" s="265">
        <v>0.19739756566666666</v>
      </c>
      <c r="P23" s="258" t="s">
        <v>316</v>
      </c>
      <c r="Q23" s="261">
        <v>0.3039798903578384</v>
      </c>
      <c r="R23" s="261">
        <v>0.32757131523306671</v>
      </c>
      <c r="S23" s="261">
        <v>0.49351529313654807</v>
      </c>
      <c r="T23" s="261">
        <v>0.64010893769084098</v>
      </c>
      <c r="U23" s="261">
        <v>0.74139802816941591</v>
      </c>
      <c r="V23" s="261">
        <v>0.73603512465357734</v>
      </c>
      <c r="W23" s="261">
        <v>0.82713848421676728</v>
      </c>
      <c r="X23" s="261">
        <f t="shared" ref="X23:X25" si="20">+(SUM(S23:W23)-MIN(S23:W23)-MAX(S23:W23))/3</f>
        <v>0.70584736350461152</v>
      </c>
      <c r="Y23" s="261">
        <f t="shared" ref="Y23:Z25" si="21">+X23</f>
        <v>0.70584736350461152</v>
      </c>
      <c r="Z23" s="261">
        <f t="shared" si="21"/>
        <v>0.70584736350461152</v>
      </c>
    </row>
    <row r="24" spans="1:26" x14ac:dyDescent="0.25">
      <c r="A24" s="258" t="s">
        <v>321</v>
      </c>
      <c r="B24" s="255"/>
      <c r="C24" s="255"/>
      <c r="D24" s="255"/>
      <c r="E24" s="265">
        <v>0.10042471100000001</v>
      </c>
      <c r="F24" s="265">
        <v>0.11220245999999999</v>
      </c>
      <c r="G24" s="265">
        <v>0.11316985000000002</v>
      </c>
      <c r="H24" s="265">
        <v>0.12627846700000001</v>
      </c>
      <c r="I24" s="265">
        <v>0.15270191500000002</v>
      </c>
      <c r="J24" s="265">
        <v>0.154347762</v>
      </c>
      <c r="K24" s="265">
        <v>0.12597384999999997</v>
      </c>
      <c r="L24" s="265">
        <v>0.10575048699999999</v>
      </c>
      <c r="M24" s="265">
        <v>0.13498474399999999</v>
      </c>
      <c r="P24" s="258" t="s">
        <v>317</v>
      </c>
      <c r="Q24" s="261">
        <v>1</v>
      </c>
      <c r="R24" s="261">
        <v>1</v>
      </c>
      <c r="S24" s="261">
        <v>1</v>
      </c>
      <c r="T24" s="261">
        <v>1</v>
      </c>
      <c r="U24" s="261">
        <v>1</v>
      </c>
      <c r="V24" s="261">
        <v>1</v>
      </c>
      <c r="W24" s="261">
        <v>1</v>
      </c>
      <c r="X24" s="261">
        <f t="shared" si="20"/>
        <v>1</v>
      </c>
      <c r="Y24" s="261">
        <f t="shared" si="21"/>
        <v>1</v>
      </c>
      <c r="Z24" s="261">
        <f t="shared" si="21"/>
        <v>1</v>
      </c>
    </row>
    <row r="25" spans="1:26" x14ac:dyDescent="0.25">
      <c r="A25" s="258" t="s">
        <v>322</v>
      </c>
      <c r="B25" s="257">
        <f>R14</f>
        <v>0.59417949999999997</v>
      </c>
      <c r="C25" s="257">
        <f>W14</f>
        <v>0.70061570000000006</v>
      </c>
      <c r="D25" s="257">
        <f>AB14</f>
        <v>0.66467690000000001</v>
      </c>
      <c r="E25" s="265">
        <v>0.36871809700000002</v>
      </c>
      <c r="F25" s="265">
        <v>0.37908529200000002</v>
      </c>
      <c r="G25" s="265">
        <v>0.32835547300000001</v>
      </c>
      <c r="H25" s="265">
        <v>0.36204658000000001</v>
      </c>
      <c r="I25" s="265">
        <v>0.36562420499999998</v>
      </c>
      <c r="J25" s="265">
        <v>0.37592918199999997</v>
      </c>
      <c r="K25" s="265">
        <v>0.39810472500000005</v>
      </c>
      <c r="L25" s="265">
        <v>0.40404019199999991</v>
      </c>
      <c r="M25" s="265">
        <v>0.37988603733333337</v>
      </c>
      <c r="P25" s="258" t="s">
        <v>318</v>
      </c>
      <c r="Q25" s="261">
        <v>0.37207910786469039</v>
      </c>
      <c r="R25" s="261">
        <v>0.47870194755983619</v>
      </c>
      <c r="S25" s="261">
        <v>0.41936732534338078</v>
      </c>
      <c r="T25" s="261">
        <v>0.48514760881333957</v>
      </c>
      <c r="U25" s="261">
        <v>0.50787258390682066</v>
      </c>
      <c r="V25" s="261">
        <v>0.4302864140340526</v>
      </c>
      <c r="W25" s="261">
        <v>0.48672486782683544</v>
      </c>
      <c r="X25" s="261">
        <f t="shared" si="20"/>
        <v>0.46738629689140926</v>
      </c>
      <c r="Y25" s="261">
        <f t="shared" si="21"/>
        <v>0.46738629689140926</v>
      </c>
      <c r="Z25" s="261">
        <f t="shared" si="21"/>
        <v>0.46738629689140926</v>
      </c>
    </row>
    <row r="26" spans="1:26" x14ac:dyDescent="0.25">
      <c r="Q26" s="236"/>
      <c r="R26" s="236"/>
      <c r="S26" s="236"/>
      <c r="T26" s="236"/>
      <c r="U26" s="236"/>
      <c r="V26" s="236"/>
      <c r="W26" s="236"/>
    </row>
    <row r="27" spans="1:26" x14ac:dyDescent="0.25">
      <c r="A27" s="254" t="s">
        <v>231</v>
      </c>
      <c r="B27" s="262">
        <f>SUM(B28:B33)</f>
        <v>0.53830489999999998</v>
      </c>
      <c r="C27" s="262">
        <f>SUM(C28:C33)</f>
        <v>0.35151350000000003</v>
      </c>
      <c r="D27" s="262">
        <f>SUM(D28:D33)</f>
        <v>0.26808599999999999</v>
      </c>
      <c r="E27" s="263">
        <v>0.2712329209999999</v>
      </c>
      <c r="F27" s="263">
        <v>0.80633007100000009</v>
      </c>
      <c r="G27" s="263">
        <v>1.046578644</v>
      </c>
      <c r="H27" s="263">
        <v>1.0262434090000001</v>
      </c>
      <c r="I27" s="263">
        <v>0.61066273199999999</v>
      </c>
      <c r="J27" s="263">
        <v>0.55004977699999991</v>
      </c>
      <c r="K27" s="263">
        <v>0.60127750400000002</v>
      </c>
      <c r="L27" s="263">
        <v>0.50716092400000001</v>
      </c>
      <c r="M27" s="263">
        <v>0.57571136866666672</v>
      </c>
      <c r="Q27" s="236"/>
      <c r="R27" s="236"/>
      <c r="S27" s="236"/>
      <c r="T27" s="236"/>
      <c r="U27" s="236"/>
      <c r="V27" s="236"/>
      <c r="W27" s="236"/>
    </row>
    <row r="28" spans="1:26" x14ac:dyDescent="0.25">
      <c r="A28" s="258" t="s">
        <v>26</v>
      </c>
      <c r="B28" s="257">
        <f>S11</f>
        <v>0.26751960000000002</v>
      </c>
      <c r="C28" s="257">
        <f>X11</f>
        <v>0.106795</v>
      </c>
      <c r="D28" s="257">
        <f>AC11</f>
        <v>8.8615899999999997E-2</v>
      </c>
      <c r="E28" s="265">
        <v>0.10362365599999998</v>
      </c>
      <c r="F28" s="265">
        <v>0.48862923900000005</v>
      </c>
      <c r="G28" s="265">
        <v>0.72316543199999994</v>
      </c>
      <c r="H28" s="265">
        <v>0.66815378400000003</v>
      </c>
      <c r="I28" s="265">
        <v>0.22171163299999999</v>
      </c>
      <c r="J28" s="265">
        <v>0.22717762</v>
      </c>
      <c r="K28" s="265">
        <v>0.227601251</v>
      </c>
      <c r="L28" s="265">
        <v>0.21494411600000005</v>
      </c>
      <c r="M28" s="265">
        <v>0.22549683466666667</v>
      </c>
      <c r="Q28" s="236"/>
      <c r="R28" s="236"/>
      <c r="S28" s="236"/>
      <c r="T28" s="236"/>
      <c r="U28" s="236"/>
      <c r="V28" s="236"/>
      <c r="W28" s="236"/>
    </row>
    <row r="29" spans="1:26" x14ac:dyDescent="0.25">
      <c r="A29" s="258" t="s">
        <v>27</v>
      </c>
      <c r="B29" s="257">
        <f>S12</f>
        <v>0.23605109999999996</v>
      </c>
      <c r="C29" s="257">
        <f>X12</f>
        <v>0.20608770000000001</v>
      </c>
      <c r="D29" s="257">
        <f>AC12</f>
        <v>0.14407389999999998</v>
      </c>
      <c r="E29" s="265">
        <v>0.13740068699999997</v>
      </c>
      <c r="F29" s="265">
        <v>0.27632078700000001</v>
      </c>
      <c r="G29" s="265">
        <v>0.27131681499999999</v>
      </c>
      <c r="H29" s="265">
        <v>0.29771335600000004</v>
      </c>
      <c r="I29" s="265">
        <v>0.33144777799999997</v>
      </c>
      <c r="J29" s="265">
        <v>0.26167291600000003</v>
      </c>
      <c r="K29" s="265">
        <v>0.32906158700000004</v>
      </c>
      <c r="L29" s="265">
        <v>0.24295129099999996</v>
      </c>
      <c r="M29" s="265">
        <v>0.29614928633333337</v>
      </c>
      <c r="Q29" s="236"/>
      <c r="R29" s="236"/>
      <c r="S29" s="236"/>
      <c r="T29" s="236"/>
      <c r="U29" s="236"/>
      <c r="V29" s="236"/>
      <c r="W29" s="236"/>
    </row>
    <row r="30" spans="1:26" x14ac:dyDescent="0.25">
      <c r="A30" s="258" t="s">
        <v>320</v>
      </c>
      <c r="B30" s="257"/>
      <c r="C30" s="255"/>
      <c r="D30" s="255"/>
      <c r="E30" s="265">
        <v>6.4655979999999995E-3</v>
      </c>
      <c r="F30" s="265">
        <v>5.0265989999999997E-3</v>
      </c>
      <c r="G30" s="265">
        <v>6.2439009999999996E-3</v>
      </c>
      <c r="H30" s="265">
        <v>5.7310420000000013E-3</v>
      </c>
      <c r="I30" s="265">
        <v>5.4018689999999992E-3</v>
      </c>
      <c r="J30" s="265">
        <v>8.2045949999999968E-3</v>
      </c>
      <c r="K30" s="265">
        <v>6.968325E-3</v>
      </c>
      <c r="L30" s="265">
        <v>6.3249840000000005E-3</v>
      </c>
      <c r="M30" s="265">
        <v>6.3414503333333342E-3</v>
      </c>
      <c r="Q30" s="236"/>
      <c r="R30" s="236"/>
      <c r="S30" s="236"/>
      <c r="T30" s="236"/>
      <c r="U30" s="236"/>
      <c r="V30" s="236"/>
      <c r="W30" s="236"/>
    </row>
    <row r="31" spans="1:26" x14ac:dyDescent="0.25">
      <c r="A31" s="258" t="s">
        <v>28</v>
      </c>
      <c r="B31" s="257">
        <f>S13</f>
        <v>1.4830000000000003E-4</v>
      </c>
      <c r="C31" s="257">
        <f>X13</f>
        <v>2.2830000000000002E-4</v>
      </c>
      <c r="D31" s="257">
        <f>AC13</f>
        <v>3.1349999999999998E-4</v>
      </c>
      <c r="E31" s="265">
        <v>2.4021099999999999E-4</v>
      </c>
      <c r="F31" s="265">
        <v>2.5443900000000002E-4</v>
      </c>
      <c r="G31" s="265">
        <v>2.7786399999999995E-4</v>
      </c>
      <c r="H31" s="265">
        <v>1.00493E-4</v>
      </c>
      <c r="I31" s="265">
        <v>1.8152700000000001E-4</v>
      </c>
      <c r="J31" s="265">
        <v>2.48096E-4</v>
      </c>
      <c r="K31" s="265">
        <v>1.7739900000000004E-4</v>
      </c>
      <c r="L31" s="265">
        <v>2.6968100000000002E-4</v>
      </c>
      <c r="M31" s="265">
        <v>2.0234066666666663E-4</v>
      </c>
    </row>
    <row r="32" spans="1:26" x14ac:dyDescent="0.25">
      <c r="A32" s="258" t="s">
        <v>321</v>
      </c>
      <c r="B32" s="255"/>
      <c r="C32" s="255"/>
      <c r="D32" s="255"/>
      <c r="E32" s="265">
        <v>5.4617040000000004E-3</v>
      </c>
      <c r="F32" s="265">
        <v>9.6703670000000009E-3</v>
      </c>
      <c r="G32" s="265">
        <v>1.3637204E-2</v>
      </c>
      <c r="H32" s="265">
        <v>3.2962842999999999E-2</v>
      </c>
      <c r="I32" s="265">
        <v>2.4340853999999999E-2</v>
      </c>
      <c r="J32" s="265">
        <v>2.7508435000000005E-2</v>
      </c>
      <c r="K32" s="265">
        <v>1.6316003999999999E-2</v>
      </c>
      <c r="L32" s="265">
        <v>1.138364E-2</v>
      </c>
      <c r="M32" s="265">
        <v>2.2721764333333328E-2</v>
      </c>
    </row>
    <row r="33" spans="1:13" x14ac:dyDescent="0.25">
      <c r="A33" s="258" t="s">
        <v>322</v>
      </c>
      <c r="B33" s="257">
        <f>S14</f>
        <v>3.4585900000000003E-2</v>
      </c>
      <c r="C33" s="257">
        <f>X14</f>
        <v>3.8402499999999999E-2</v>
      </c>
      <c r="D33" s="257">
        <f>AC14</f>
        <v>3.5082700000000001E-2</v>
      </c>
      <c r="E33" s="265">
        <v>1.8041064999999998E-2</v>
      </c>
      <c r="F33" s="265">
        <v>2.6428639999999996E-2</v>
      </c>
      <c r="G33" s="265">
        <v>3.1937428000000004E-2</v>
      </c>
      <c r="H33" s="265">
        <v>2.1581890999999999E-2</v>
      </c>
      <c r="I33" s="265">
        <v>2.7579070999999997E-2</v>
      </c>
      <c r="J33" s="265">
        <v>2.5238114999999995E-2</v>
      </c>
      <c r="K33" s="265">
        <v>2.1152938E-2</v>
      </c>
      <c r="L33" s="265">
        <v>3.1287212000000002E-2</v>
      </c>
      <c r="M33" s="265">
        <v>2.4799692333333338E-2</v>
      </c>
    </row>
    <row r="34" spans="1:13" x14ac:dyDescent="0.25">
      <c r="B34" s="235"/>
      <c r="C34" s="235"/>
      <c r="D34" s="235"/>
      <c r="E34" s="7"/>
      <c r="F34" s="7"/>
      <c r="G34" s="7"/>
      <c r="H34" s="7"/>
      <c r="I34" s="7"/>
      <c r="J34" s="7"/>
      <c r="K34" s="7"/>
      <c r="L34" s="7"/>
      <c r="M34" s="7"/>
    </row>
    <row r="35" spans="1:13" x14ac:dyDescent="0.25">
      <c r="A35" s="254" t="s">
        <v>256</v>
      </c>
      <c r="B35" s="262">
        <f>SUM(B36:B41)</f>
        <v>1.7889429082227406</v>
      </c>
      <c r="C35" s="262">
        <f>SUM(C36:C41)</f>
        <v>2.0254928010949058</v>
      </c>
      <c r="D35" s="262">
        <f>SUM(D36:D41)</f>
        <v>1.9083330628248041</v>
      </c>
      <c r="E35" s="263">
        <v>1.9885147589941752</v>
      </c>
      <c r="F35" s="263">
        <v>2.8186840852541755</v>
      </c>
      <c r="G35" s="263">
        <v>3.0569014573841757</v>
      </c>
      <c r="H35" s="263">
        <v>3.754854796594175</v>
      </c>
      <c r="I35" s="263">
        <v>3.4814593566841756</v>
      </c>
      <c r="J35" s="263">
        <v>2.7879856256441751</v>
      </c>
      <c r="K35" s="263">
        <v>3.5973186419041747</v>
      </c>
      <c r="L35" s="263">
        <v>3.3164803628984227</v>
      </c>
      <c r="M35" s="263">
        <v>3.27350775401659</v>
      </c>
    </row>
    <row r="36" spans="1:13" x14ac:dyDescent="0.25">
      <c r="A36" s="258" t="s">
        <v>26</v>
      </c>
      <c r="B36" s="257">
        <f>U11</f>
        <v>0.98765962727394097</v>
      </c>
      <c r="C36" s="257">
        <f>Z11</f>
        <v>1.0223354205642912</v>
      </c>
      <c r="D36" s="257">
        <f>AE11</f>
        <v>0.90016010820652559</v>
      </c>
      <c r="E36" s="265">
        <v>0.76887184661999997</v>
      </c>
      <c r="F36" s="265">
        <v>1.0571244692400001</v>
      </c>
      <c r="G36" s="265">
        <v>1.2233195370000003</v>
      </c>
      <c r="H36" s="265">
        <v>1.8138704231999998</v>
      </c>
      <c r="I36" s="265">
        <v>1.8688332691</v>
      </c>
      <c r="J36" s="265">
        <v>1.3950787887000002</v>
      </c>
      <c r="K36" s="265">
        <v>1.73</v>
      </c>
      <c r="L36" s="265">
        <v>1.4204181092999999</v>
      </c>
      <c r="M36" s="265">
        <v>1.4513283138149813</v>
      </c>
    </row>
    <row r="37" spans="1:13" x14ac:dyDescent="0.25">
      <c r="A37" s="258" t="s">
        <v>27</v>
      </c>
      <c r="B37" s="257">
        <f>U12</f>
        <v>0.15907714512864507</v>
      </c>
      <c r="C37" s="257">
        <f>Z12</f>
        <v>0.15720799284952186</v>
      </c>
      <c r="D37" s="257">
        <f>AE12</f>
        <v>0.25140310602256832</v>
      </c>
      <c r="E37" s="265">
        <v>0.53538969396000002</v>
      </c>
      <c r="F37" s="265">
        <v>0.82286856431999966</v>
      </c>
      <c r="G37" s="265">
        <v>0.86277847919999995</v>
      </c>
      <c r="H37" s="265">
        <v>0.9846931241400001</v>
      </c>
      <c r="I37" s="265">
        <v>0.70928972202000007</v>
      </c>
      <c r="J37" s="265">
        <v>0.75663094913999984</v>
      </c>
      <c r="K37" s="265">
        <v>0.88313585711999998</v>
      </c>
      <c r="L37" s="265">
        <v>0.83483731517999993</v>
      </c>
      <c r="M37" s="265">
        <v>0.81693841429422775</v>
      </c>
    </row>
    <row r="38" spans="1:13" x14ac:dyDescent="0.25">
      <c r="A38" s="258" t="s">
        <v>320</v>
      </c>
      <c r="B38" s="255"/>
      <c r="C38" s="255"/>
      <c r="D38" s="255"/>
      <c r="E38" s="265">
        <v>0</v>
      </c>
      <c r="F38" s="265">
        <v>0</v>
      </c>
      <c r="G38" s="265">
        <v>0</v>
      </c>
      <c r="H38" s="265">
        <v>0</v>
      </c>
      <c r="I38" s="265">
        <v>0</v>
      </c>
      <c r="J38" s="265">
        <v>0</v>
      </c>
      <c r="K38" s="265">
        <v>0</v>
      </c>
      <c r="L38" s="265">
        <v>0</v>
      </c>
      <c r="M38" s="265">
        <v>0</v>
      </c>
    </row>
    <row r="39" spans="1:13" x14ac:dyDescent="0.25">
      <c r="A39" s="258" t="s">
        <v>28</v>
      </c>
      <c r="B39" s="257">
        <f>U13</f>
        <v>0.21546950000000004</v>
      </c>
      <c r="C39" s="257">
        <f>Z13</f>
        <v>0.23449530000000002</v>
      </c>
      <c r="D39" s="257">
        <f>AE13</f>
        <v>0.20499429999999999</v>
      </c>
      <c r="E39" s="265">
        <v>0.28011168009000004</v>
      </c>
      <c r="F39" s="265">
        <v>0.44834022387</v>
      </c>
      <c r="G39" s="265">
        <v>0.43987122035999993</v>
      </c>
      <c r="H39" s="265">
        <v>0.46083238442999996</v>
      </c>
      <c r="I39" s="265">
        <v>0.40391705574000003</v>
      </c>
      <c r="J39" s="265">
        <v>0.37967064497999997</v>
      </c>
      <c r="K39" s="265">
        <v>0.52483682195999992</v>
      </c>
      <c r="L39" s="265">
        <v>0.52392506363999991</v>
      </c>
      <c r="M39" s="265">
        <v>0.48208316364708681</v>
      </c>
    </row>
    <row r="40" spans="1:13" x14ac:dyDescent="0.25">
      <c r="A40" s="258" t="s">
        <v>321</v>
      </c>
      <c r="B40" s="255"/>
      <c r="C40" s="255"/>
      <c r="D40" s="255"/>
      <c r="E40" s="265">
        <v>0</v>
      </c>
      <c r="F40" s="265">
        <v>0</v>
      </c>
      <c r="G40" s="265">
        <v>0</v>
      </c>
      <c r="H40" s="265">
        <v>0</v>
      </c>
      <c r="I40" s="265">
        <v>0</v>
      </c>
      <c r="J40" s="265">
        <v>0</v>
      </c>
      <c r="K40" s="265">
        <v>0</v>
      </c>
      <c r="L40" s="265">
        <v>0</v>
      </c>
      <c r="M40" s="265">
        <v>0</v>
      </c>
    </row>
    <row r="41" spans="1:13" x14ac:dyDescent="0.25">
      <c r="A41" s="258" t="s">
        <v>322</v>
      </c>
      <c r="B41" s="257">
        <f>U14</f>
        <v>0.42673663582015459</v>
      </c>
      <c r="C41" s="257">
        <f>Z14</f>
        <v>0.61145408768109277</v>
      </c>
      <c r="D41" s="257">
        <f>AE14</f>
        <v>0.5517755485957101</v>
      </c>
      <c r="E41" s="265">
        <v>0.40414153832417526</v>
      </c>
      <c r="F41" s="265">
        <v>0.49035082782417555</v>
      </c>
      <c r="G41" s="265">
        <v>0.53093222082417557</v>
      </c>
      <c r="H41" s="265">
        <v>0.49545886482417523</v>
      </c>
      <c r="I41" s="265">
        <v>0.49941930982417548</v>
      </c>
      <c r="J41" s="265">
        <v>0.25660524282417507</v>
      </c>
      <c r="K41" s="265">
        <v>0.45934596282417517</v>
      </c>
      <c r="L41" s="265">
        <v>0.53729987477842334</v>
      </c>
      <c r="M41" s="265">
        <v>0.52315786226029437</v>
      </c>
    </row>
  </sheetData>
  <mergeCells count="3">
    <mergeCell ref="Q2:U2"/>
    <mergeCell ref="V2:Z2"/>
    <mergeCell ref="AA2:A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A96"/>
  <sheetViews>
    <sheetView tabSelected="1" zoomScale="70" zoomScaleNormal="70" workbookViewId="0"/>
  </sheetViews>
  <sheetFormatPr defaultRowHeight="15" outlineLevelRow="4" outlineLevelCol="1" x14ac:dyDescent="0.25"/>
  <cols>
    <col min="1" max="1" width="46.42578125" customWidth="1"/>
    <col min="2" max="2" width="12.7109375" style="121" customWidth="1" outlineLevel="1"/>
    <col min="3" max="3" width="10.28515625" style="121" customWidth="1" outlineLevel="1"/>
    <col min="4" max="4" width="10.85546875" style="121" customWidth="1" outlineLevel="1"/>
    <col min="5" max="5" width="13.140625" style="121" customWidth="1" outlineLevel="1"/>
    <col min="6" max="6" width="13.5703125" style="121" customWidth="1"/>
    <col min="7" max="7" width="14.85546875" style="121" customWidth="1"/>
    <col min="8" max="8" width="11.140625" style="122" customWidth="1"/>
    <col min="9" max="11" width="12.28515625" customWidth="1"/>
    <col min="12" max="12" width="13.28515625" customWidth="1"/>
    <col min="13" max="13" width="5.5703125" style="123" customWidth="1"/>
    <col min="14" max="14" width="0" hidden="1" customWidth="1"/>
    <col min="15" max="15" width="12.42578125" style="7" hidden="1" customWidth="1"/>
    <col min="16" max="16" width="12.42578125" hidden="1" customWidth="1"/>
    <col min="17" max="17" width="0" style="5" hidden="1" customWidth="1"/>
    <col min="18" max="19" width="10.5703125" bestFit="1" customWidth="1"/>
    <col min="20" max="20" width="9.140625" style="5"/>
  </cols>
  <sheetData>
    <row r="1" spans="1:20" ht="15.75" x14ac:dyDescent="0.25">
      <c r="A1" s="248" t="str">
        <f>"Updated on " &amp; TEXT(Updates!B2,"[$-0809]dd mmm yyyy")</f>
        <v>Updated on 11 Nov 2022</v>
      </c>
      <c r="B1" s="2"/>
      <c r="C1" s="2"/>
      <c r="D1" s="2"/>
      <c r="E1" s="2"/>
      <c r="F1" s="2"/>
      <c r="G1" s="2"/>
      <c r="H1" s="3"/>
      <c r="I1" s="4"/>
      <c r="J1" s="4"/>
      <c r="K1" s="4"/>
      <c r="L1" s="5"/>
      <c r="M1" s="6"/>
      <c r="R1" s="5"/>
      <c r="S1" s="5"/>
    </row>
    <row r="2" spans="1:20" ht="45" x14ac:dyDescent="0.25">
      <c r="A2" s="8" t="s">
        <v>0</v>
      </c>
      <c r="B2" s="9"/>
      <c r="C2" s="9"/>
      <c r="D2" s="9"/>
      <c r="E2" s="9"/>
      <c r="F2" s="9"/>
      <c r="G2" s="9"/>
      <c r="H2" s="9"/>
      <c r="I2" s="9"/>
      <c r="J2" s="9"/>
      <c r="K2" s="9"/>
      <c r="L2" s="5"/>
      <c r="M2" s="6"/>
      <c r="R2" s="5"/>
      <c r="S2" s="5"/>
    </row>
    <row r="3" spans="1:20" ht="44.25" customHeight="1" x14ac:dyDescent="0.25">
      <c r="A3" s="10" t="s">
        <v>270</v>
      </c>
      <c r="B3" s="305" t="s">
        <v>2</v>
      </c>
      <c r="C3" s="306"/>
      <c r="D3" s="306"/>
      <c r="E3" s="306"/>
      <c r="F3" s="306"/>
      <c r="G3" s="307"/>
      <c r="H3" s="308" t="s">
        <v>3</v>
      </c>
      <c r="I3" s="301" t="s">
        <v>4</v>
      </c>
      <c r="J3" s="302"/>
      <c r="K3" s="11"/>
      <c r="L3" s="12"/>
      <c r="M3" s="13"/>
      <c r="O3" s="301" t="s">
        <v>5</v>
      </c>
      <c r="P3" s="302"/>
      <c r="R3" s="301" t="str">
        <f>+I3</f>
        <v>Million tonnes 
 (crude protein)</v>
      </c>
      <c r="S3" s="302"/>
    </row>
    <row r="4" spans="1:20" ht="50.25" customHeight="1" x14ac:dyDescent="0.25">
      <c r="A4" s="14" t="s">
        <v>6</v>
      </c>
      <c r="B4" s="15" t="s">
        <v>7</v>
      </c>
      <c r="C4" s="15" t="s">
        <v>8</v>
      </c>
      <c r="D4" s="16" t="s">
        <v>9</v>
      </c>
      <c r="E4" s="16" t="s">
        <v>10</v>
      </c>
      <c r="F4" s="16" t="s">
        <v>11</v>
      </c>
      <c r="G4" s="16" t="s">
        <v>12</v>
      </c>
      <c r="H4" s="309"/>
      <c r="I4" s="17" t="s">
        <v>13</v>
      </c>
      <c r="J4" s="17" t="s">
        <v>14</v>
      </c>
      <c r="K4" s="16" t="s">
        <v>15</v>
      </c>
      <c r="L4" s="15" t="s">
        <v>16</v>
      </c>
      <c r="M4" s="13"/>
      <c r="O4" s="18" t="s">
        <v>17</v>
      </c>
      <c r="P4" s="19" t="s">
        <v>17</v>
      </c>
      <c r="R4" s="18" t="s">
        <v>17</v>
      </c>
      <c r="S4" s="19" t="s">
        <v>17</v>
      </c>
    </row>
    <row r="5" spans="1:20" ht="7.5" customHeight="1" x14ac:dyDescent="0.25">
      <c r="A5" s="20"/>
      <c r="B5" s="21"/>
      <c r="C5" s="21"/>
      <c r="D5" s="21"/>
      <c r="E5" s="21"/>
      <c r="F5" s="22"/>
      <c r="G5" s="22"/>
      <c r="H5" s="23"/>
      <c r="I5" s="24"/>
      <c r="J5" s="25"/>
      <c r="K5" s="26"/>
      <c r="L5" s="26"/>
      <c r="M5" s="6"/>
    </row>
    <row r="6" spans="1:20" ht="36" customHeight="1" x14ac:dyDescent="0.25">
      <c r="A6" s="27" t="s">
        <v>18</v>
      </c>
      <c r="B6" s="28"/>
      <c r="C6" s="28"/>
      <c r="D6" s="28"/>
      <c r="E6" s="28"/>
      <c r="F6" s="29">
        <f>F9+F21+F27</f>
        <v>162.11961557401656</v>
      </c>
      <c r="G6" s="29">
        <f>G9+G21+G27</f>
        <v>138.48649108891993</v>
      </c>
      <c r="H6" s="30"/>
      <c r="I6" s="30">
        <f>I9+I21+I27</f>
        <v>16.453439517946421</v>
      </c>
      <c r="J6" s="30">
        <f>J9+J21+J27</f>
        <v>14.378322037959004</v>
      </c>
      <c r="K6" s="31">
        <f>J6/I6</f>
        <v>0.87387941118791579</v>
      </c>
      <c r="L6" s="31">
        <f>+I6/$I$89</f>
        <v>0.22955003244856187</v>
      </c>
      <c r="M6" s="6"/>
      <c r="O6" s="32">
        <f>+F6-'2019-20'!F6</f>
        <v>-5.2570492516276204</v>
      </c>
      <c r="P6" s="33">
        <f>+F6/'2019-20'!F6-1</f>
        <v>-3.1408495665174563E-2</v>
      </c>
      <c r="Q6" s="34"/>
      <c r="R6" s="32">
        <f>+I6-'2021-22'!I6</f>
        <v>-0.29562140460148356</v>
      </c>
      <c r="S6" s="33">
        <f>+I6/'2021-22'!I6-1</f>
        <v>-1.7650028617635094E-2</v>
      </c>
      <c r="T6" s="35"/>
    </row>
    <row r="7" spans="1:20" ht="7.5" customHeight="1" x14ac:dyDescent="0.25">
      <c r="A7" s="20"/>
      <c r="B7" s="21"/>
      <c r="C7" s="21"/>
      <c r="D7" s="21"/>
      <c r="E7" s="21"/>
      <c r="F7" s="22"/>
      <c r="G7" s="22"/>
      <c r="H7" s="23"/>
      <c r="I7" s="24"/>
      <c r="J7" s="25"/>
      <c r="K7" s="26"/>
      <c r="L7" s="26"/>
      <c r="M7" s="6"/>
      <c r="O7" s="36"/>
      <c r="P7" s="37"/>
      <c r="Q7" s="34"/>
      <c r="R7" s="36"/>
      <c r="S7" s="37"/>
      <c r="T7" s="35"/>
    </row>
    <row r="8" spans="1:20" ht="8.25" hidden="1" customHeight="1" x14ac:dyDescent="0.25">
      <c r="A8" s="38"/>
      <c r="B8" s="39"/>
      <c r="C8" s="39"/>
      <c r="D8" s="39"/>
      <c r="E8" s="39"/>
      <c r="F8" s="40"/>
      <c r="G8" s="40"/>
      <c r="H8" s="41"/>
      <c r="I8" s="42"/>
      <c r="J8" s="43"/>
      <c r="K8" s="44"/>
      <c r="L8" s="45"/>
      <c r="M8" s="6"/>
      <c r="O8" s="46">
        <f>+F8-'2019-20'!F8</f>
        <v>0</v>
      </c>
      <c r="P8" s="47" t="e">
        <f>+F8/'2019-20'!F8-1</f>
        <v>#DIV/0!</v>
      </c>
      <c r="Q8" s="34"/>
      <c r="R8" s="46">
        <f>+I8-'2019-20'!I8</f>
        <v>0</v>
      </c>
      <c r="S8" s="47" t="e">
        <f>+I8/'2019-20'!I8-1</f>
        <v>#DIV/0!</v>
      </c>
      <c r="T8" s="35"/>
    </row>
    <row r="9" spans="1:20" ht="22.5" customHeight="1" outlineLevel="1" x14ac:dyDescent="0.25">
      <c r="A9" s="48" t="s">
        <v>19</v>
      </c>
      <c r="B9" s="49">
        <f>SUM(B11:B19)</f>
        <v>270.21680480037821</v>
      </c>
      <c r="C9" s="49">
        <f t="shared" ref="C9:J9" si="0">SUM(C11:C19)</f>
        <v>29.422342917666668</v>
      </c>
      <c r="D9" s="49">
        <f t="shared" si="0"/>
        <v>50.277101344000002</v>
      </c>
      <c r="E9" s="49">
        <f t="shared" si="0"/>
        <v>249.36204637404484</v>
      </c>
      <c r="F9" s="49">
        <f t="shared" si="0"/>
        <v>157.25</v>
      </c>
      <c r="G9" s="49">
        <f t="shared" si="0"/>
        <v>134.00165326194087</v>
      </c>
      <c r="H9" s="50"/>
      <c r="I9" s="50">
        <f t="shared" si="0"/>
        <v>15.152499999999998</v>
      </c>
      <c r="J9" s="50">
        <f t="shared" si="0"/>
        <v>13.188370566406196</v>
      </c>
      <c r="K9" s="51">
        <f>J9/I9</f>
        <v>0.87037588295041723</v>
      </c>
      <c r="L9" s="51">
        <f>+I9/$I$89</f>
        <v>0.2113999849625946</v>
      </c>
      <c r="M9" s="6"/>
      <c r="N9" s="52"/>
      <c r="O9" s="53">
        <f>+F9-'2019-20'!F9</f>
        <v>-5.7800000000000011</v>
      </c>
      <c r="P9" s="54">
        <f>+F9/'2019-20'!F9-1</f>
        <v>-3.5453597497393075E-2</v>
      </c>
      <c r="Q9" s="34"/>
      <c r="R9" s="53">
        <f>+I9-'2021-22'!I9</f>
        <v>-0.28350000000000009</v>
      </c>
      <c r="S9" s="54">
        <f>+I9/'2021-22'!I9-1</f>
        <v>-1.8366157035501485E-2</v>
      </c>
      <c r="T9" s="35"/>
    </row>
    <row r="10" spans="1:20" ht="7.5" customHeight="1" outlineLevel="1" x14ac:dyDescent="0.25">
      <c r="A10" s="20"/>
      <c r="B10" s="21"/>
      <c r="C10" s="21"/>
      <c r="D10" s="21"/>
      <c r="E10" s="21"/>
      <c r="F10" s="22"/>
      <c r="G10" s="22"/>
      <c r="H10" s="23"/>
      <c r="I10" s="24"/>
      <c r="J10" s="25"/>
      <c r="K10" s="26"/>
      <c r="L10" s="26"/>
      <c r="M10" s="6"/>
      <c r="N10" s="52"/>
      <c r="O10" s="36"/>
      <c r="P10" s="37"/>
      <c r="Q10" s="34"/>
      <c r="R10" s="36"/>
      <c r="S10" s="37"/>
      <c r="T10" s="35"/>
    </row>
    <row r="11" spans="1:20" ht="15" customHeight="1" outlineLevel="1" x14ac:dyDescent="0.25">
      <c r="A11" s="55" t="str">
        <f>+'data from cereal masterfile'!A3</f>
        <v>Common  wheat</v>
      </c>
      <c r="B11" s="56">
        <f>+'data from cereal masterfile'!M3</f>
        <v>127.1904166522</v>
      </c>
      <c r="C11" s="56">
        <f>+'data from cereal masterfile'!M15</f>
        <v>3</v>
      </c>
      <c r="D11" s="56">
        <f>+'data from cereal masterfile'!M27</f>
        <v>36</v>
      </c>
      <c r="E11" s="56">
        <f>+B11+C11-D11</f>
        <v>94.190416652199985</v>
      </c>
      <c r="F11" s="56">
        <f>+'data from cereal masterfile'!M39</f>
        <v>40.5</v>
      </c>
      <c r="G11" s="56">
        <f>IF(B11&gt;E11,F11,F11*B11/E11)-C11</f>
        <v>37.5</v>
      </c>
      <c r="H11" s="57">
        <v>0.11</v>
      </c>
      <c r="I11" s="58">
        <f>F11*H11</f>
        <v>4.4550000000000001</v>
      </c>
      <c r="J11" s="58">
        <f>G11*H11</f>
        <v>4.125</v>
      </c>
      <c r="K11" s="26"/>
      <c r="L11" s="26"/>
      <c r="M11" s="6">
        <f>+IF(H11&lt;15%,1,IF(H11&lt;30%,2,IF(H11&lt;50%,3,4)))</f>
        <v>1</v>
      </c>
      <c r="N11" s="52"/>
      <c r="O11" s="59">
        <f>+F11-'2019-20'!F11</f>
        <v>0</v>
      </c>
      <c r="P11" s="60">
        <f>+F11/'2019-20'!F11-1</f>
        <v>0</v>
      </c>
      <c r="Q11" s="34"/>
      <c r="R11" s="59">
        <f>+I11-'2021-22'!I11</f>
        <v>7.6999999999999957E-2</v>
      </c>
      <c r="S11" s="60">
        <f>+I11/'2021-22'!I11-1</f>
        <v>1.7587939698492372E-2</v>
      </c>
      <c r="T11" s="35"/>
    </row>
    <row r="12" spans="1:20" ht="15" customHeight="1" outlineLevel="1" x14ac:dyDescent="0.25">
      <c r="A12" s="55" t="str">
        <f>+'data from cereal masterfile'!A4</f>
        <v>Barley</v>
      </c>
      <c r="B12" s="56">
        <f>+'data from cereal masterfile'!M4</f>
        <v>51.570611879999994</v>
      </c>
      <c r="C12" s="56">
        <f>+'data from cereal masterfile'!M16</f>
        <v>1.5</v>
      </c>
      <c r="D12" s="56">
        <f>+'data from cereal masterfile'!M28</f>
        <v>9.9589766279999985</v>
      </c>
      <c r="E12" s="56">
        <f t="shared" ref="E12:E19" si="1">+B12+C12-D12</f>
        <v>43.111635251999999</v>
      </c>
      <c r="F12" s="56">
        <f>+'data from cereal masterfile'!M40</f>
        <v>33.5</v>
      </c>
      <c r="G12" s="56">
        <f>IF(B12&gt;E12,F12,F12*B12/E12)</f>
        <v>33.5</v>
      </c>
      <c r="H12" s="57">
        <v>0.1</v>
      </c>
      <c r="I12" s="58">
        <f t="shared" ref="I12:I19" si="2">F12*H12</f>
        <v>3.35</v>
      </c>
      <c r="J12" s="58">
        <f t="shared" ref="J12:J19" si="3">G12*H12</f>
        <v>3.35</v>
      </c>
      <c r="K12" s="26"/>
      <c r="L12" s="26"/>
      <c r="M12" s="6">
        <f t="shared" ref="M12:M19" si="4">+IF(H12&lt;15%,1,IF(H12&lt;30%,2,IF(H12&lt;50%,3,4)))</f>
        <v>1</v>
      </c>
      <c r="N12" s="52"/>
      <c r="O12" s="59">
        <f>+F12-'2019-20'!F12</f>
        <v>-1</v>
      </c>
      <c r="P12" s="60">
        <f>+F12/'2019-20'!F12-1</f>
        <v>-2.8985507246376829E-2</v>
      </c>
      <c r="Q12" s="34"/>
      <c r="R12" s="59">
        <f>+I12-'2021-22'!I12</f>
        <v>4.9999999999999822E-2</v>
      </c>
      <c r="S12" s="60">
        <f>+I12/'2021-22'!I12-1</f>
        <v>1.5151515151515138E-2</v>
      </c>
      <c r="T12" s="35"/>
    </row>
    <row r="13" spans="1:20" ht="15" customHeight="1" outlineLevel="1" x14ac:dyDescent="0.25">
      <c r="A13" s="55" t="str">
        <f>+'data from cereal masterfile'!A5</f>
        <v>Durum</v>
      </c>
      <c r="B13" s="56">
        <f>+'data from cereal masterfile'!M5</f>
        <v>7.2282084449999999</v>
      </c>
      <c r="C13" s="56">
        <f>+'data from cereal masterfile'!M17</f>
        <v>2.2999999999999998</v>
      </c>
      <c r="D13" s="56">
        <f>+'data from cereal masterfile'!M29</f>
        <v>0.9</v>
      </c>
      <c r="E13" s="56">
        <f t="shared" si="1"/>
        <v>8.6282084450000003</v>
      </c>
      <c r="F13" s="56">
        <f>+'data from cereal masterfile'!M41</f>
        <v>0.5</v>
      </c>
      <c r="G13" s="56">
        <f>IF(B13&gt;E13,F13,F13*B13/E13)</f>
        <v>0.41887075927035045</v>
      </c>
      <c r="H13" s="57">
        <v>0.12</v>
      </c>
      <c r="I13" s="58">
        <f t="shared" si="2"/>
        <v>0.06</v>
      </c>
      <c r="J13" s="58">
        <f t="shared" si="3"/>
        <v>5.026449111244205E-2</v>
      </c>
      <c r="K13" s="26"/>
      <c r="L13" s="26"/>
      <c r="M13" s="6">
        <f t="shared" si="4"/>
        <v>1</v>
      </c>
      <c r="N13" s="52"/>
      <c r="O13" s="59">
        <f>+F13-'2019-20'!F13</f>
        <v>9.9999999999999978E-2</v>
      </c>
      <c r="P13" s="60">
        <f>+F13/'2019-20'!F13-1</f>
        <v>0.25</v>
      </c>
      <c r="Q13" s="34"/>
      <c r="R13" s="59">
        <f>+I13-'2021-22'!I13</f>
        <v>0</v>
      </c>
      <c r="S13" s="60">
        <f>+I13/'2021-22'!I13-1</f>
        <v>0</v>
      </c>
      <c r="T13" s="35"/>
    </row>
    <row r="14" spans="1:20" ht="15" customHeight="1" outlineLevel="1" x14ac:dyDescent="0.25">
      <c r="A14" s="55" t="str">
        <f>+'data from cereal masterfile'!A6</f>
        <v>Maize</v>
      </c>
      <c r="B14" s="56">
        <f>+'data from cereal masterfile'!M6</f>
        <v>54.869974119999995</v>
      </c>
      <c r="C14" s="56">
        <f>+'data from cereal masterfile'!M18</f>
        <v>22</v>
      </c>
      <c r="D14" s="56">
        <f>+'data from cereal masterfile'!M30</f>
        <v>3</v>
      </c>
      <c r="E14" s="56">
        <f t="shared" si="1"/>
        <v>73.869974119999995</v>
      </c>
      <c r="F14" s="56">
        <f>+'data from cereal masterfile'!M42</f>
        <v>60.5</v>
      </c>
      <c r="G14" s="56">
        <f>F14-C14*0.9</f>
        <v>40.700000000000003</v>
      </c>
      <c r="H14" s="57">
        <v>0.08</v>
      </c>
      <c r="I14" s="58">
        <f t="shared" si="2"/>
        <v>4.84</v>
      </c>
      <c r="J14" s="58">
        <f t="shared" si="3"/>
        <v>3.2560000000000002</v>
      </c>
      <c r="K14" s="26"/>
      <c r="L14" s="26"/>
      <c r="M14" s="6">
        <f t="shared" si="4"/>
        <v>1</v>
      </c>
      <c r="N14" s="52"/>
      <c r="O14" s="59">
        <f>+F14-'2019-20'!F14</f>
        <v>-7.5999999999999943</v>
      </c>
      <c r="P14" s="60">
        <f>+F14/'2019-20'!F14-1</f>
        <v>-0.11160058737151246</v>
      </c>
      <c r="Q14" s="34"/>
      <c r="R14" s="59">
        <f>+I14-'2021-22'!I14</f>
        <v>-0.3279999999999994</v>
      </c>
      <c r="S14" s="60">
        <f>+I14/'2021-22'!I14-1</f>
        <v>-6.3467492260061764E-2</v>
      </c>
      <c r="T14" s="35"/>
    </row>
    <row r="15" spans="1:20" ht="15" customHeight="1" outlineLevel="1" x14ac:dyDescent="0.25">
      <c r="A15" s="55" t="str">
        <f>+'data from cereal masterfile'!A7</f>
        <v>Rye</v>
      </c>
      <c r="B15" s="56">
        <f>+'data from cereal masterfile'!M7</f>
        <v>7.4313070075209433</v>
      </c>
      <c r="C15" s="56">
        <f>+'data from cereal masterfile'!M19</f>
        <v>0.13709229700000003</v>
      </c>
      <c r="D15" s="56">
        <f>+'data from cereal masterfile'!M31</f>
        <v>0.18884682433333336</v>
      </c>
      <c r="E15" s="56">
        <f t="shared" si="1"/>
        <v>7.37955248018761</v>
      </c>
      <c r="F15" s="56">
        <f>+'data from cereal masterfile'!M43</f>
        <v>2.6520000000000001</v>
      </c>
      <c r="G15" s="56">
        <f>IF(B15&gt;E15,F15,F15*B15/(B15+C15-D15))</f>
        <v>2.6520000000000001</v>
      </c>
      <c r="H15" s="57">
        <v>0.11</v>
      </c>
      <c r="I15" s="58">
        <f t="shared" si="2"/>
        <v>0.29172000000000003</v>
      </c>
      <c r="J15" s="58">
        <f t="shared" si="3"/>
        <v>0.29172000000000003</v>
      </c>
      <c r="K15" s="26"/>
      <c r="L15" s="26"/>
      <c r="M15" s="6">
        <f t="shared" si="4"/>
        <v>1</v>
      </c>
      <c r="N15" s="52"/>
      <c r="O15" s="59">
        <f>+F15-'2019-20'!F15</f>
        <v>7.2000000000000064E-2</v>
      </c>
      <c r="P15" s="60">
        <f>+F15/'2019-20'!F15-1</f>
        <v>2.7906976744185963E-2</v>
      </c>
      <c r="Q15" s="34"/>
      <c r="R15" s="59">
        <f>+I15-'2021-22'!I15</f>
        <v>5.7200000000000029E-3</v>
      </c>
      <c r="S15" s="60">
        <f>+I15/'2021-22'!I15-1</f>
        <v>2.0000000000000018E-2</v>
      </c>
      <c r="T15" s="35"/>
    </row>
    <row r="16" spans="1:20" ht="15" customHeight="1" outlineLevel="1" x14ac:dyDescent="0.25">
      <c r="A16" s="55" t="str">
        <f>+'data from cereal masterfile'!A8</f>
        <v>Sorghum</v>
      </c>
      <c r="B16" s="56">
        <f>+'data from cereal masterfile'!M8</f>
        <v>0.56639949999999983</v>
      </c>
      <c r="C16" s="56">
        <f>+'data from cereal masterfile'!M20</f>
        <v>0.22009899066666669</v>
      </c>
      <c r="D16" s="56">
        <f>+'data from cereal masterfile'!M32</f>
        <v>1.6004678333333331E-2</v>
      </c>
      <c r="E16" s="56">
        <f t="shared" si="1"/>
        <v>0.77049381233333325</v>
      </c>
      <c r="F16" s="56">
        <f>+'data from cereal masterfile'!M44</f>
        <v>0.91800000000000004</v>
      </c>
      <c r="G16" s="56">
        <f>IF(B16&gt;E16,F16,F16*B16/(B16+C16-D16))</f>
        <v>0.67483311699206161</v>
      </c>
      <c r="H16" s="57">
        <v>0.11</v>
      </c>
      <c r="I16" s="58">
        <f t="shared" si="2"/>
        <v>0.10098</v>
      </c>
      <c r="J16" s="58">
        <f t="shared" si="3"/>
        <v>7.4231642869126771E-2</v>
      </c>
      <c r="K16" s="26"/>
      <c r="L16" s="26"/>
      <c r="M16" s="6">
        <f t="shared" si="4"/>
        <v>1</v>
      </c>
      <c r="N16" s="52"/>
      <c r="O16" s="59">
        <f>+F16-'2019-20'!F16</f>
        <v>0.46800000000000008</v>
      </c>
      <c r="P16" s="60">
        <f>+F16/'2019-20'!F16-1</f>
        <v>1.0400000000000005</v>
      </c>
      <c r="Q16" s="34"/>
      <c r="R16" s="59">
        <f>+I16-'2021-22'!I16</f>
        <v>1.9799999999999957E-3</v>
      </c>
      <c r="S16" s="60">
        <f>+I16/'2021-22'!I16-1</f>
        <v>2.0000000000000018E-2</v>
      </c>
      <c r="T16" s="35"/>
    </row>
    <row r="17" spans="1:27" ht="15" customHeight="1" outlineLevel="1" x14ac:dyDescent="0.25">
      <c r="A17" s="55" t="str">
        <f>+'data from cereal masterfile'!A9</f>
        <v>Oats</v>
      </c>
      <c r="B17" s="56">
        <f>+'data from cereal masterfile'!M9</f>
        <v>7.483546127582537</v>
      </c>
      <c r="C17" s="56">
        <f>+'data from cereal masterfile'!M21</f>
        <v>0.1</v>
      </c>
      <c r="D17" s="56">
        <f>+'data from cereal masterfile'!M33</f>
        <v>0.18891629866666668</v>
      </c>
      <c r="E17" s="56">
        <f t="shared" si="1"/>
        <v>7.3946298289158703</v>
      </c>
      <c r="F17" s="56">
        <f>+'data from cereal masterfile'!M45</f>
        <v>5.8140000000000001</v>
      </c>
      <c r="G17" s="56">
        <f>IF(B17&gt;E17,F17,F17*B17/(B17+C17-D17))</f>
        <v>5.8140000000000001</v>
      </c>
      <c r="H17" s="57">
        <v>0.11</v>
      </c>
      <c r="I17" s="58">
        <f t="shared" si="2"/>
        <v>0.63954</v>
      </c>
      <c r="J17" s="58">
        <f t="shared" si="3"/>
        <v>0.63954</v>
      </c>
      <c r="K17" s="26"/>
      <c r="L17" s="26"/>
      <c r="M17" s="6">
        <f t="shared" si="4"/>
        <v>1</v>
      </c>
      <c r="N17" s="52"/>
      <c r="O17" s="59">
        <f>+F17-'2019-20'!F17</f>
        <v>0.71400000000000041</v>
      </c>
      <c r="P17" s="60">
        <f>+F17/'2019-20'!F17-1</f>
        <v>0.14000000000000012</v>
      </c>
      <c r="Q17" s="34"/>
      <c r="R17" s="59">
        <f>+I17-'2021-22'!I17</f>
        <v>1.2539999999999996E-2</v>
      </c>
      <c r="S17" s="60">
        <f>+I17/'2021-22'!I17-1</f>
        <v>2.0000000000000018E-2</v>
      </c>
      <c r="T17" s="35"/>
    </row>
    <row r="18" spans="1:27" ht="15" customHeight="1" outlineLevel="1" x14ac:dyDescent="0.25">
      <c r="A18" s="55" t="str">
        <f>+'data from cereal masterfile'!A10</f>
        <v>Triticale</v>
      </c>
      <c r="B18" s="56">
        <f>+'data from cereal masterfile'!M10</f>
        <v>11.277771400000001</v>
      </c>
      <c r="C18" s="56">
        <f>+'data from cereal masterfile'!M22</f>
        <v>1.5209220000000003E-3</v>
      </c>
      <c r="D18" s="56">
        <f>+'data from cereal masterfile'!M34</f>
        <v>4.5091866666666673E-3</v>
      </c>
      <c r="E18" s="56">
        <f t="shared" si="1"/>
        <v>11.274783135333333</v>
      </c>
      <c r="F18" s="56">
        <f>+'data from cereal masterfile'!M46</f>
        <v>10.5</v>
      </c>
      <c r="G18" s="56">
        <f>IF(B18&gt;E18,F18,F18*B18/(B18+C18-D18))</f>
        <v>10.5</v>
      </c>
      <c r="H18" s="57">
        <v>0.11</v>
      </c>
      <c r="I18" s="58">
        <f t="shared" si="2"/>
        <v>1.155</v>
      </c>
      <c r="J18" s="58">
        <f t="shared" si="3"/>
        <v>1.155</v>
      </c>
      <c r="K18" s="26"/>
      <c r="L18" s="26"/>
      <c r="M18" s="6">
        <f t="shared" si="4"/>
        <v>1</v>
      </c>
      <c r="N18" s="52"/>
      <c r="O18" s="59">
        <f>+F18-'2019-20'!F18</f>
        <v>2.4000000000000004</v>
      </c>
      <c r="P18" s="60">
        <f>+F18/'2019-20'!F18-1</f>
        <v>0.29629629629629628</v>
      </c>
      <c r="Q18" s="34"/>
      <c r="R18" s="59">
        <f>+I18-'2021-22'!I18</f>
        <v>0</v>
      </c>
      <c r="S18" s="60">
        <f>+I18/'2021-22'!I18-1</f>
        <v>0</v>
      </c>
      <c r="T18" s="35"/>
    </row>
    <row r="19" spans="1:27" ht="15" customHeight="1" outlineLevel="1" x14ac:dyDescent="0.25">
      <c r="A19" s="55" t="str">
        <f>+'data from cereal masterfile'!A11</f>
        <v>Others</v>
      </c>
      <c r="B19" s="56">
        <f>+'data from cereal masterfile'!M11</f>
        <v>2.5985696680747079</v>
      </c>
      <c r="C19" s="56">
        <f>+'data from cereal masterfile'!M23</f>
        <v>0.16363070799999999</v>
      </c>
      <c r="D19" s="56">
        <f>+'data from cereal masterfile'!M35</f>
        <v>1.9847727999999999E-2</v>
      </c>
      <c r="E19" s="56">
        <f t="shared" si="1"/>
        <v>2.742352648074708</v>
      </c>
      <c r="F19" s="56">
        <f>+'data from cereal masterfile'!M47</f>
        <v>2.3659999999999997</v>
      </c>
      <c r="G19" s="56">
        <f>IF(B19&gt;E19,F19,F19*B19/(B19+C19-D19))</f>
        <v>2.2419493856784487</v>
      </c>
      <c r="H19" s="57">
        <v>0.11</v>
      </c>
      <c r="I19" s="58">
        <f t="shared" si="2"/>
        <v>0.26025999999999999</v>
      </c>
      <c r="J19" s="58">
        <f t="shared" si="3"/>
        <v>0.24661443242462935</v>
      </c>
      <c r="K19" s="26"/>
      <c r="L19" s="26"/>
      <c r="M19" s="6">
        <f t="shared" si="4"/>
        <v>1</v>
      </c>
      <c r="N19" s="52"/>
      <c r="O19" s="59">
        <f>+F19-'2019-20'!F19</f>
        <v>-0.93400000000000016</v>
      </c>
      <c r="P19" s="60">
        <f>+F19/'2019-20'!F19-1</f>
        <v>-0.28303030303030308</v>
      </c>
      <c r="Q19" s="34"/>
      <c r="R19" s="59">
        <f>+I19-'2021-22'!I19</f>
        <v>-0.10274</v>
      </c>
      <c r="S19" s="60">
        <f>+I19/'2021-22'!I19-1</f>
        <v>-0.28303030303030308</v>
      </c>
      <c r="T19" s="35"/>
    </row>
    <row r="20" spans="1:27" ht="12.75" customHeight="1" outlineLevel="1" x14ac:dyDescent="0.25">
      <c r="A20" s="20"/>
      <c r="B20" s="21"/>
      <c r="C20" s="21"/>
      <c r="D20" s="21"/>
      <c r="E20" s="21"/>
      <c r="F20" s="22"/>
      <c r="G20" s="22"/>
      <c r="H20" s="23"/>
      <c r="I20" s="24"/>
      <c r="J20" s="25"/>
      <c r="K20" s="26"/>
      <c r="L20" s="26"/>
      <c r="M20" s="6"/>
      <c r="N20" s="52"/>
      <c r="O20" s="36"/>
      <c r="P20" s="37"/>
      <c r="Q20" s="34"/>
      <c r="R20" s="36"/>
      <c r="S20" s="37"/>
      <c r="T20" s="35"/>
    </row>
    <row r="21" spans="1:27" ht="22.5" customHeight="1" outlineLevel="1" x14ac:dyDescent="0.25">
      <c r="A21" s="48" t="s">
        <v>20</v>
      </c>
      <c r="B21" s="49">
        <f t="shared" ref="B21:G21" si="5">SUM(B23:B25)</f>
        <v>32.159658191927768</v>
      </c>
      <c r="C21" s="49">
        <f t="shared" si="5"/>
        <v>19.899999999999999</v>
      </c>
      <c r="D21" s="49">
        <f t="shared" si="5"/>
        <v>0.86033424433333339</v>
      </c>
      <c r="E21" s="49">
        <f t="shared" si="5"/>
        <v>51.199323947594436</v>
      </c>
      <c r="F21" s="49">
        <f t="shared" si="5"/>
        <v>1.5961078200000001</v>
      </c>
      <c r="G21" s="49">
        <f t="shared" si="5"/>
        <v>1.5961078200000001</v>
      </c>
      <c r="H21" s="50"/>
      <c r="I21" s="50">
        <f>SUM(I23:I25)</f>
        <v>0.46246808678000001</v>
      </c>
      <c r="J21" s="50">
        <f>SUM(J23:J25)</f>
        <v>0.46246808678000001</v>
      </c>
      <c r="K21" s="51">
        <f>J21/I21</f>
        <v>1</v>
      </c>
      <c r="L21" s="51">
        <f>+I21/$I$89</f>
        <v>6.4521198872114771E-3</v>
      </c>
      <c r="M21" s="6"/>
      <c r="N21" s="52"/>
      <c r="O21" s="53">
        <f>+F21-'2019-20'!F21</f>
        <v>3.7428620000000024E-2</v>
      </c>
      <c r="P21" s="54">
        <f>+F21/'2019-20'!F21-1</f>
        <v>2.4013036165491997E-2</v>
      </c>
      <c r="Q21" s="34"/>
      <c r="R21" s="53">
        <f>+I21-'2021-22'!I21</f>
        <v>3.7576817399999629E-3</v>
      </c>
      <c r="S21" s="54">
        <f>+I21/'2021-22'!I21-1</f>
        <v>8.1918389003456937E-3</v>
      </c>
      <c r="T21" s="35"/>
    </row>
    <row r="22" spans="1:27" ht="14.25" customHeight="1" outlineLevel="1" x14ac:dyDescent="0.25">
      <c r="A22" s="20" t="s">
        <v>21</v>
      </c>
      <c r="B22" s="21"/>
      <c r="C22" s="21"/>
      <c r="D22" s="21"/>
      <c r="E22" s="21"/>
      <c r="F22" s="22"/>
      <c r="G22" s="22"/>
      <c r="H22" s="23"/>
      <c r="I22" s="24"/>
      <c r="J22" s="25"/>
      <c r="K22" s="26"/>
      <c r="L22" s="26"/>
      <c r="M22" s="6"/>
      <c r="N22" s="52"/>
      <c r="O22" s="36"/>
      <c r="P22" s="37"/>
      <c r="Q22" s="34"/>
      <c r="R22" s="36"/>
      <c r="S22" s="37"/>
      <c r="T22" s="35"/>
    </row>
    <row r="23" spans="1:27" ht="15" customHeight="1" outlineLevel="1" x14ac:dyDescent="0.25">
      <c r="A23" s="55" t="s">
        <v>22</v>
      </c>
      <c r="B23" s="56">
        <f>+'data from oilseed masterfile'!AA4</f>
        <v>2.5735571919277644</v>
      </c>
      <c r="C23" s="56">
        <f>+'data from oilseed masterfile'!AA12</f>
        <v>14</v>
      </c>
      <c r="D23" s="56">
        <f>+'data from oilseed masterfile'!AA16</f>
        <v>0.24108880733333338</v>
      </c>
      <c r="E23" s="56">
        <f>+B23+C23-D23</f>
        <v>16.332468384594431</v>
      </c>
      <c r="F23" s="56">
        <v>1.2</v>
      </c>
      <c r="G23" s="56">
        <f>F23</f>
        <v>1.2</v>
      </c>
      <c r="H23" s="61">
        <v>0.33</v>
      </c>
      <c r="I23" s="58">
        <f>F23*H23</f>
        <v>0.39600000000000002</v>
      </c>
      <c r="J23" s="58">
        <f>G23*H23</f>
        <v>0.39600000000000002</v>
      </c>
      <c r="K23" s="26"/>
      <c r="L23" s="26"/>
      <c r="M23" s="6">
        <f>+IF(H23&lt;15%,1,IF(H23&lt;30%,2,IF(H23&lt;50%,3,4)))</f>
        <v>3</v>
      </c>
      <c r="N23" s="52"/>
      <c r="O23" s="59">
        <f>+F23-'2019-20'!F23</f>
        <v>0</v>
      </c>
      <c r="P23" s="60">
        <f>+F23/'2019-20'!F23-1</f>
        <v>0</v>
      </c>
      <c r="Q23" s="34"/>
      <c r="R23" s="59">
        <f>+I23-'2021-22'!I23</f>
        <v>0</v>
      </c>
      <c r="S23" s="60">
        <f>+I23/'2021-22'!I23-1</f>
        <v>0</v>
      </c>
      <c r="T23" s="35"/>
    </row>
    <row r="24" spans="1:27" ht="15" customHeight="1" outlineLevel="1" x14ac:dyDescent="0.25">
      <c r="A24" s="55" t="s">
        <v>23</v>
      </c>
      <c r="B24" s="56">
        <f>+'data from oilseed masterfile'!AA5</f>
        <v>19.561420000000002</v>
      </c>
      <c r="C24" s="56">
        <f>+'data from oilseed masterfile'!AA13</f>
        <v>4.7</v>
      </c>
      <c r="D24" s="56">
        <f>+'data from oilseed masterfile'!AA17</f>
        <v>0.31421060000000001</v>
      </c>
      <c r="E24" s="56">
        <f>+B24+C24-D24</f>
        <v>23.947209400000002</v>
      </c>
      <c r="F24" s="56">
        <f>+B24*1%</f>
        <v>0.19561420000000002</v>
      </c>
      <c r="G24" s="56">
        <f>F24</f>
        <v>0.19561420000000002</v>
      </c>
      <c r="H24" s="62">
        <f>H47*0.57</f>
        <v>0.18809999999999999</v>
      </c>
      <c r="I24" s="58">
        <f>F24*H24</f>
        <v>3.6795031020000001E-2</v>
      </c>
      <c r="J24" s="58">
        <f>G24*H24</f>
        <v>3.6795031020000001E-2</v>
      </c>
      <c r="K24" s="26"/>
      <c r="L24" s="26"/>
      <c r="M24" s="6">
        <f>+IF(H24&lt;15%,1,IF(H24&lt;30%,2,IF(H24&lt;50%,3,4)))</f>
        <v>2</v>
      </c>
      <c r="N24" s="52"/>
      <c r="O24" s="59">
        <f>+F24-'2019-20'!F24</f>
        <v>4.18182E-2</v>
      </c>
      <c r="P24" s="60">
        <f>+F24/'2019-20'!F24-1</f>
        <v>0.27190694166298202</v>
      </c>
      <c r="Q24" s="34"/>
      <c r="R24" s="59">
        <f>+I24-'2021-22'!I24</f>
        <v>4.7197675799999991E-3</v>
      </c>
      <c r="S24" s="60">
        <f>+I24/'2021-22'!I24-1</f>
        <v>0.14714665052802434</v>
      </c>
      <c r="T24" s="35"/>
    </row>
    <row r="25" spans="1:27" ht="15" customHeight="1" outlineLevel="1" x14ac:dyDescent="0.25">
      <c r="A25" s="55" t="s">
        <v>24</v>
      </c>
      <c r="B25" s="56">
        <f>+'data from oilseed masterfile'!AA6</f>
        <v>10.024680999999999</v>
      </c>
      <c r="C25" s="56">
        <f>+'data from oilseed masterfile'!AA14</f>
        <v>1.2000000000000002</v>
      </c>
      <c r="D25" s="56">
        <f>+'data from oilseed masterfile'!AA18</f>
        <v>0.305034837</v>
      </c>
      <c r="E25" s="56">
        <f>+B25+C25-D25</f>
        <v>10.919646162999999</v>
      </c>
      <c r="F25" s="56">
        <f>+B25*2%</f>
        <v>0.20049361999999998</v>
      </c>
      <c r="G25" s="56">
        <f>F25</f>
        <v>0.20049361999999998</v>
      </c>
      <c r="H25" s="57">
        <v>0.14799999999999999</v>
      </c>
      <c r="I25" s="58">
        <f>F25*H25</f>
        <v>2.9673055759999997E-2</v>
      </c>
      <c r="J25" s="58">
        <f>G25*H25</f>
        <v>2.9673055759999997E-2</v>
      </c>
      <c r="K25" s="26"/>
      <c r="L25" s="26"/>
      <c r="M25" s="6">
        <f>+IF(H25&lt;15%,1,IF(H25&lt;30%,2,IF(H25&lt;50%,3,4)))</f>
        <v>1</v>
      </c>
      <c r="N25" s="52"/>
      <c r="O25" s="59">
        <f>+F25-'2019-20'!F25</f>
        <v>-4.389580000000004E-3</v>
      </c>
      <c r="P25" s="60">
        <f>+F25/'2019-20'!F25-1</f>
        <v>-2.1424792271889537E-2</v>
      </c>
      <c r="Q25" s="34"/>
      <c r="R25" s="59">
        <f>+I25-'2021-22'!I25</f>
        <v>-9.6208584000000499E-4</v>
      </c>
      <c r="S25" s="60">
        <f>+I25/'2021-22'!I25-1</f>
        <v>-3.1404648052940742E-2</v>
      </c>
      <c r="T25" s="35"/>
    </row>
    <row r="26" spans="1:27" ht="12.75" customHeight="1" outlineLevel="1" x14ac:dyDescent="0.25">
      <c r="A26" s="20"/>
      <c r="B26" s="21"/>
      <c r="C26" s="21"/>
      <c r="D26" s="21"/>
      <c r="E26" s="21"/>
      <c r="F26" s="22"/>
      <c r="G26" s="22"/>
      <c r="H26" s="23"/>
      <c r="I26" s="24"/>
      <c r="J26" s="25"/>
      <c r="K26" s="26"/>
      <c r="L26" s="26"/>
      <c r="M26" s="6"/>
      <c r="N26" s="52"/>
      <c r="O26" s="36"/>
      <c r="P26" s="37"/>
      <c r="Q26" s="34"/>
      <c r="R26" s="36"/>
      <c r="S26" s="37"/>
      <c r="T26" s="35"/>
    </row>
    <row r="27" spans="1:27" ht="20.25" customHeight="1" outlineLevel="1" x14ac:dyDescent="0.25">
      <c r="A27" s="48" t="s">
        <v>25</v>
      </c>
      <c r="B27" s="49">
        <f>SUM(B29:B32)</f>
        <v>4.0339222737915819</v>
      </c>
      <c r="C27" s="49">
        <f t="shared" ref="C27:G27" si="6">SUM(C29:C32)</f>
        <v>1.1931342536666669</v>
      </c>
      <c r="D27" s="49">
        <f t="shared" si="6"/>
        <v>0.54664815400000011</v>
      </c>
      <c r="E27" s="49">
        <f t="shared" si="6"/>
        <v>4.6804083734582491</v>
      </c>
      <c r="F27" s="49">
        <f t="shared" si="6"/>
        <v>3.27350775401659</v>
      </c>
      <c r="G27" s="49">
        <f t="shared" si="6"/>
        <v>2.8887300069790802</v>
      </c>
      <c r="H27" s="50"/>
      <c r="I27" s="50">
        <f>SUM(I29:I32)</f>
        <v>0.83847143116642409</v>
      </c>
      <c r="J27" s="50">
        <f>SUM(J29:J32)</f>
        <v>0.72748338477280838</v>
      </c>
      <c r="K27" s="51">
        <f>J27/I27</f>
        <v>0.86763049727381081</v>
      </c>
      <c r="L27" s="51">
        <f>+I27/$I$89</f>
        <v>1.1697927598755799E-2</v>
      </c>
      <c r="M27" s="6"/>
      <c r="N27" s="52"/>
      <c r="O27" s="53">
        <f>+F27-'2019-20'!F27</f>
        <v>0.48552212837241493</v>
      </c>
      <c r="P27" s="54">
        <f>+F27/'2019-20'!F27-1</f>
        <v>0.17414800273951658</v>
      </c>
      <c r="Q27" s="34"/>
      <c r="R27" s="53">
        <f>+I27-'2021-22'!I27</f>
        <v>-1.5879086341481718E-2</v>
      </c>
      <c r="S27" s="54">
        <f>+I27/'2021-22'!I27-1</f>
        <v>-1.8586149380233508E-2</v>
      </c>
      <c r="T27" s="35"/>
    </row>
    <row r="28" spans="1:27" ht="7.5" customHeight="1" outlineLevel="1" x14ac:dyDescent="0.25">
      <c r="A28" s="20"/>
      <c r="B28" s="21"/>
      <c r="C28" s="21"/>
      <c r="D28" s="21"/>
      <c r="E28" s="21"/>
      <c r="F28" s="22"/>
      <c r="G28" s="22"/>
      <c r="H28" s="23"/>
      <c r="I28" s="24"/>
      <c r="J28" s="25"/>
      <c r="K28" s="26"/>
      <c r="L28" s="26"/>
      <c r="M28" s="6"/>
      <c r="N28" s="52"/>
      <c r="O28" s="36"/>
      <c r="P28" s="37"/>
      <c r="Q28" s="34"/>
      <c r="R28" s="36"/>
      <c r="S28" s="37"/>
      <c r="T28" s="35"/>
    </row>
    <row r="29" spans="1:27" ht="15" customHeight="1" outlineLevel="1" x14ac:dyDescent="0.25">
      <c r="A29" s="55" t="s">
        <v>26</v>
      </c>
      <c r="B29" s="56">
        <f>'data from protein balance sheet'!M4</f>
        <v>1.923122477932808</v>
      </c>
      <c r="C29" s="56">
        <f>'data from protein balance sheet'!M20</f>
        <v>0.51426250400000018</v>
      </c>
      <c r="D29" s="56">
        <f>'data from protein balance sheet'!M28</f>
        <v>0.22549683466666667</v>
      </c>
      <c r="E29" s="56">
        <f>'data from protein balance sheet'!M12</f>
        <v>2.2118881472661416</v>
      </c>
      <c r="F29" s="56">
        <f>'data from protein balance sheet'!M36</f>
        <v>1.4513283138149813</v>
      </c>
      <c r="G29" s="56">
        <f>IF(B29&gt;E29,F29,F29*B29/E29)</f>
        <v>1.2618549932588787</v>
      </c>
      <c r="H29" s="63">
        <v>0.22500000000000001</v>
      </c>
      <c r="I29" s="58">
        <f>F29*H29</f>
        <v>0.32654887060837079</v>
      </c>
      <c r="J29" s="58">
        <f>G29*H29</f>
        <v>0.28391737348324775</v>
      </c>
      <c r="K29" s="26"/>
      <c r="L29" s="26"/>
      <c r="M29" s="6">
        <f>+IF(H29&lt;15%,1,IF(H29&lt;30%,2,IF(H29&lt;50%,3,4)))</f>
        <v>2</v>
      </c>
      <c r="N29" s="52"/>
      <c r="O29" s="59">
        <f>+F29-'2019-20'!F29</f>
        <v>5.6249525114981047E-2</v>
      </c>
      <c r="P29" s="60">
        <f>+F29/'2019-20'!F29-1</f>
        <v>4.0319962980296609E-2</v>
      </c>
      <c r="Q29" s="34"/>
      <c r="R29" s="59">
        <f>+I29-'2021-22'!I29</f>
        <v>6.95479601587079E-3</v>
      </c>
      <c r="S29" s="60">
        <f>+I29/'2021-22'!I29-1</f>
        <v>2.1761342179884124E-2</v>
      </c>
      <c r="T29" s="35"/>
    </row>
    <row r="30" spans="1:27" ht="15" customHeight="1" outlineLevel="1" x14ac:dyDescent="0.25">
      <c r="A30" s="55" t="s">
        <v>27</v>
      </c>
      <c r="B30" s="56">
        <f>'data from protein balance sheet'!M5</f>
        <v>1.1361973295367085</v>
      </c>
      <c r="C30" s="56">
        <f>'data from protein balance sheet'!M21</f>
        <v>0.10158814666666667</v>
      </c>
      <c r="D30" s="56">
        <f>'data from protein balance sheet'!M29</f>
        <v>0.29614928633333337</v>
      </c>
      <c r="E30" s="56">
        <f>'data from protein balance sheet'!M13</f>
        <v>0.94163618987004205</v>
      </c>
      <c r="F30" s="56">
        <f>'data from protein balance sheet'!M37</f>
        <v>0.81693841429422775</v>
      </c>
      <c r="G30" s="56">
        <f>IF(B30&gt;E30,F30,F30*B30/E30)</f>
        <v>0.81693841429422775</v>
      </c>
      <c r="H30" s="63">
        <v>0.26</v>
      </c>
      <c r="I30" s="58">
        <f>F30*H30</f>
        <v>0.21240398771649924</v>
      </c>
      <c r="J30" s="58">
        <f>G30*H30</f>
        <v>0.21240398771649924</v>
      </c>
      <c r="K30" s="26"/>
      <c r="L30" s="26"/>
      <c r="M30" s="6">
        <f>+IF(H30&lt;15%,1,IF(H30&lt;30%,2,IF(H30&lt;50%,3,4)))</f>
        <v>2</v>
      </c>
      <c r="N30" s="52"/>
      <c r="O30" s="59">
        <f>+F30-'2019-20'!F30</f>
        <v>6.0307465154227913E-2</v>
      </c>
      <c r="P30" s="60">
        <f>+F30/'2019-20'!F30-1</f>
        <v>7.9705258187990458E-2</v>
      </c>
      <c r="Q30" s="34"/>
      <c r="R30" s="59">
        <f>+I30-'2021-22'!I30</f>
        <v>-4.6537142303007539E-3</v>
      </c>
      <c r="S30" s="60">
        <f>+I30/'2021-22'!I30-1</f>
        <v>-2.1439986642083575E-2</v>
      </c>
      <c r="T30" s="35"/>
    </row>
    <row r="31" spans="1:27" ht="15" customHeight="1" outlineLevel="1" x14ac:dyDescent="0.25">
      <c r="A31" s="55" t="s">
        <v>28</v>
      </c>
      <c r="B31" s="56">
        <f>'data from protein balance sheet'!M7</f>
        <v>0.28955512488594626</v>
      </c>
      <c r="C31" s="56">
        <f>'data from protein balance sheet'!M23</f>
        <v>0.19739756566666666</v>
      </c>
      <c r="D31" s="56">
        <f>'data from protein balance sheet'!M31</f>
        <v>2.0234066666666663E-4</v>
      </c>
      <c r="E31" s="56">
        <f>'data from protein balance sheet'!M15</f>
        <v>0.48675034988594629</v>
      </c>
      <c r="F31" s="56">
        <f>'data from protein balance sheet'!M39</f>
        <v>0.48208316364708681</v>
      </c>
      <c r="G31" s="56">
        <f>IF(B31&gt;E31,F31,F31*B31/E31)</f>
        <v>0.28677873716567942</v>
      </c>
      <c r="H31" s="61">
        <v>0.35</v>
      </c>
      <c r="I31" s="58">
        <f>F31*H31</f>
        <v>0.16872910727648038</v>
      </c>
      <c r="J31" s="58">
        <f>G31*H31</f>
        <v>0.10037255800798779</v>
      </c>
      <c r="K31" s="26"/>
      <c r="L31" s="26"/>
      <c r="M31" s="6">
        <f>+IF(H31&lt;15%,1,IF(H31&lt;30%,2,IF(H31&lt;50%,3,4)))</f>
        <v>3</v>
      </c>
      <c r="N31" s="52"/>
      <c r="O31" s="59">
        <f>+F31-'2019-20'!F31</f>
        <v>0.10241251866708684</v>
      </c>
      <c r="P31" s="60">
        <f>+F31/'2019-20'!F31-1</f>
        <v>0.26974041849477626</v>
      </c>
      <c r="Q31" s="34"/>
      <c r="R31" s="59">
        <f>+I31-'2021-22'!I31</f>
        <v>-1.4644664997519569E-2</v>
      </c>
      <c r="S31" s="60">
        <f>+I31/'2021-22'!I31-1</f>
        <v>-7.9862375169101552E-2</v>
      </c>
      <c r="T31" s="64"/>
      <c r="U31" s="52"/>
      <c r="V31" s="52"/>
      <c r="W31" s="52"/>
      <c r="X31" s="52"/>
      <c r="Y31" s="52"/>
      <c r="Z31" s="52"/>
      <c r="AA31" s="52"/>
    </row>
    <row r="32" spans="1:27" ht="15" customHeight="1" outlineLevel="1" x14ac:dyDescent="0.25">
      <c r="A32" s="55" t="s">
        <v>29</v>
      </c>
      <c r="B32" s="56">
        <f>'data from protein balance sheet'!M9</f>
        <v>0.68504734143611934</v>
      </c>
      <c r="C32" s="56">
        <f>'data from protein balance sheet'!M25</f>
        <v>0.37988603733333337</v>
      </c>
      <c r="D32" s="56">
        <f>'data from protein balance sheet'!M33</f>
        <v>2.4799692333333338E-2</v>
      </c>
      <c r="E32" s="56">
        <f>'data from protein balance sheet'!M17</f>
        <v>1.0401336864361193</v>
      </c>
      <c r="F32" s="56">
        <f>'data from protein balance sheet'!M41</f>
        <v>0.52315786226029437</v>
      </c>
      <c r="G32" s="56">
        <f>+(MIN(F32,B32-D32))</f>
        <v>0.52315786226029437</v>
      </c>
      <c r="H32" s="63">
        <v>0.25</v>
      </c>
      <c r="I32" s="58">
        <f>F32*H32</f>
        <v>0.13078946556507359</v>
      </c>
      <c r="J32" s="58">
        <f>G32*H32</f>
        <v>0.13078946556507359</v>
      </c>
      <c r="K32" s="26"/>
      <c r="L32" s="26"/>
      <c r="M32" s="6"/>
      <c r="N32" s="52"/>
      <c r="O32" s="59">
        <f>+F32-'2019-20'!F32</f>
        <v>0.2665526194361193</v>
      </c>
      <c r="P32" s="60">
        <f>+F32/'2019-20'!F32-1</f>
        <v>1.0387652898376678</v>
      </c>
      <c r="Q32" s="34"/>
      <c r="R32" s="59">
        <f>+I32-'2021-22'!I32</f>
        <v>-3.5355031295322414E-3</v>
      </c>
      <c r="S32" s="60">
        <f>+I32/'2021-22'!I32-1</f>
        <v>-2.6320520778012391E-2</v>
      </c>
      <c r="T32" s="64"/>
      <c r="U32" s="52"/>
      <c r="V32" s="52"/>
      <c r="W32" s="52"/>
      <c r="X32" s="52"/>
      <c r="Y32" s="52"/>
      <c r="Z32" s="52"/>
      <c r="AA32" s="52"/>
    </row>
    <row r="33" spans="1:27" ht="12.75" customHeight="1" outlineLevel="1" x14ac:dyDescent="0.25">
      <c r="A33" s="20"/>
      <c r="B33" s="21"/>
      <c r="C33" s="21"/>
      <c r="D33" s="21"/>
      <c r="E33" s="21"/>
      <c r="F33" s="22"/>
      <c r="G33" s="22"/>
      <c r="H33" s="23"/>
      <c r="I33" s="24"/>
      <c r="J33" s="25"/>
      <c r="K33" s="26"/>
      <c r="L33" s="26"/>
      <c r="M33" s="6"/>
      <c r="N33" s="52"/>
      <c r="O33" s="36"/>
      <c r="P33" s="37"/>
      <c r="Q33" s="34"/>
      <c r="R33" s="59"/>
      <c r="S33" s="37"/>
      <c r="T33" s="35"/>
      <c r="U33" s="52"/>
      <c r="V33" s="52"/>
      <c r="W33" s="52"/>
      <c r="X33" s="52"/>
      <c r="Y33" s="52"/>
      <c r="Z33" s="52"/>
      <c r="AA33" s="52"/>
    </row>
    <row r="34" spans="1:27" ht="36" customHeight="1" x14ac:dyDescent="0.25">
      <c r="A34" s="27" t="s">
        <v>30</v>
      </c>
      <c r="B34" s="28"/>
      <c r="C34" s="28"/>
      <c r="D34" s="28"/>
      <c r="E34" s="28"/>
      <c r="F34" s="29">
        <f>+F36+F63</f>
        <v>77.807094770098345</v>
      </c>
      <c r="G34" s="29">
        <f>+G36+G63</f>
        <v>42.354880412401833</v>
      </c>
      <c r="H34" s="30"/>
      <c r="I34" s="30">
        <f>+I36+I63</f>
        <v>23.698679432285516</v>
      </c>
      <c r="J34" s="30">
        <f>+J36+J63</f>
        <v>9.2298570276888743</v>
      </c>
      <c r="K34" s="31">
        <f>IF(I34=0,0,J34/I34)</f>
        <v>0.38946714537666288</v>
      </c>
      <c r="L34" s="31">
        <f>+I34/$I$89</f>
        <v>0.33063194031470111</v>
      </c>
      <c r="M34" s="6"/>
      <c r="N34" s="52"/>
      <c r="O34" s="32">
        <f>+F34-'2019-20'!F34</f>
        <v>-0.3627644749390555</v>
      </c>
      <c r="P34" s="33">
        <f>+F34/'2019-20'!F34-1</f>
        <v>-4.6407205851798361E-3</v>
      </c>
      <c r="Q34" s="34"/>
      <c r="R34" s="32">
        <f>+I34-'2021-22'!I34</f>
        <v>5.0855367508418681E-2</v>
      </c>
      <c r="S34" s="33">
        <f>+I34/'2021-22'!I34-1</f>
        <v>2.1505305253080031E-3</v>
      </c>
      <c r="T34" s="35"/>
    </row>
    <row r="35" spans="1:27" ht="7.5" customHeight="1" x14ac:dyDescent="0.25">
      <c r="A35" s="20"/>
      <c r="B35" s="21"/>
      <c r="C35" s="21"/>
      <c r="D35" s="21"/>
      <c r="E35" s="21"/>
      <c r="F35" s="22"/>
      <c r="G35" s="22"/>
      <c r="H35" s="23"/>
      <c r="I35" s="24"/>
      <c r="J35" s="25"/>
      <c r="K35" s="26"/>
      <c r="L35" s="26"/>
      <c r="M35" s="6"/>
      <c r="N35" s="52"/>
      <c r="O35" s="36"/>
      <c r="P35" s="37"/>
      <c r="Q35" s="34"/>
      <c r="R35" s="36"/>
      <c r="S35" s="37"/>
      <c r="T35" s="35"/>
    </row>
    <row r="36" spans="1:27" ht="19.5" customHeight="1" x14ac:dyDescent="0.25">
      <c r="A36" s="48" t="s">
        <v>31</v>
      </c>
      <c r="B36" s="49">
        <f t="shared" ref="B36:E36" si="7">+B38+B45+B51+B57</f>
        <v>29.773055929554385</v>
      </c>
      <c r="C36" s="49">
        <f t="shared" si="7"/>
        <v>21.141617801000006</v>
      </c>
      <c r="D36" s="49">
        <f t="shared" si="7"/>
        <v>2.4951375329999994</v>
      </c>
      <c r="E36" s="49">
        <f t="shared" si="7"/>
        <v>48.419536197554393</v>
      </c>
      <c r="F36" s="49">
        <f>+F38+F45+F51+F57</f>
        <v>48.227900555496916</v>
      </c>
      <c r="G36" s="49">
        <f>+G38+G45+G51+G57</f>
        <v>14.707955396800399</v>
      </c>
      <c r="H36" s="50"/>
      <c r="I36" s="50">
        <f>+I38+I45+I51+I57</f>
        <v>19.25795829894798</v>
      </c>
      <c r="J36" s="50">
        <f>+J38+J45+J51+J57</f>
        <v>5.078106725897336</v>
      </c>
      <c r="K36" s="51">
        <f>IF(I36=0,0,J36/I36)</f>
        <v>0.26368873829032757</v>
      </c>
      <c r="L36" s="51">
        <f>+I36/$I$89</f>
        <v>0.26867725423579458</v>
      </c>
      <c r="M36" s="6"/>
      <c r="N36" s="52"/>
      <c r="O36" s="53">
        <f>+F36-'2019-20'!F36</f>
        <v>7.9196646282433392E-2</v>
      </c>
      <c r="P36" s="54">
        <f>+F36/'2019-20'!F36-1</f>
        <v>1.644834436909548E-3</v>
      </c>
      <c r="Q36" s="34"/>
      <c r="R36" s="53">
        <f>+I36-'2021-22'!I36</f>
        <v>5.0855367508422233E-2</v>
      </c>
      <c r="S36" s="54">
        <f>+I36/'2021-22'!I36-1</f>
        <v>2.6477375421973814E-3</v>
      </c>
      <c r="T36" s="35"/>
    </row>
    <row r="37" spans="1:27" ht="7.5" customHeight="1" x14ac:dyDescent="0.25">
      <c r="A37" s="20"/>
      <c r="B37" s="21"/>
      <c r="C37" s="21"/>
      <c r="D37" s="21"/>
      <c r="E37" s="21"/>
      <c r="F37" s="22"/>
      <c r="G37" s="22"/>
      <c r="H37" s="23"/>
      <c r="I37" s="24"/>
      <c r="J37" s="25"/>
      <c r="K37" s="26"/>
      <c r="L37" s="26"/>
      <c r="M37" s="6"/>
      <c r="N37" s="52"/>
      <c r="O37" s="36"/>
      <c r="P37" s="37"/>
      <c r="Q37" s="34"/>
      <c r="R37" s="36"/>
      <c r="S37" s="37"/>
      <c r="T37" s="35"/>
    </row>
    <row r="38" spans="1:27" ht="19.5" customHeight="1" outlineLevel="1" x14ac:dyDescent="0.25">
      <c r="A38" s="48" t="s">
        <v>32</v>
      </c>
      <c r="B38" s="49">
        <f t="shared" ref="B38:E38" si="8">B40+B41+B42+B43</f>
        <v>10.648784268873669</v>
      </c>
      <c r="C38" s="49">
        <f t="shared" si="8"/>
        <v>16.780207505000003</v>
      </c>
      <c r="D38" s="49">
        <f t="shared" si="8"/>
        <v>0.76700216599999982</v>
      </c>
      <c r="E38" s="49">
        <f t="shared" si="8"/>
        <v>26.661989607873675</v>
      </c>
      <c r="F38" s="49">
        <f>F40+F41+F42+F43</f>
        <v>26.470353965816198</v>
      </c>
      <c r="G38" s="49">
        <f>G40+G41+G42+G43</f>
        <v>0.87675702335300854</v>
      </c>
      <c r="H38" s="50"/>
      <c r="I38" s="50">
        <f>SUM(I40:I43)</f>
        <v>12.073092128862545</v>
      </c>
      <c r="J38" s="50">
        <f>SUM(J40:J43)</f>
        <v>0.37700552004179366</v>
      </c>
      <c r="K38" s="51">
        <f>IF(I38=0,0,J38/I38)</f>
        <v>3.1226923145935847E-2</v>
      </c>
      <c r="L38" s="51">
        <f>+I38/$I$89</f>
        <v>0.16843765018931275</v>
      </c>
      <c r="M38" s="6"/>
      <c r="N38" s="52"/>
      <c r="O38" s="53">
        <f>+F38-'2019-20'!F38</f>
        <v>-0.55088153845158416</v>
      </c>
      <c r="P38" s="54">
        <f>+F38/'2019-20'!F38-1</f>
        <v>-2.0386985575273853E-2</v>
      </c>
      <c r="Q38" s="34"/>
      <c r="R38" s="53">
        <f>+I38-'2021-22'!I38</f>
        <v>-0.23574291835593364</v>
      </c>
      <c r="S38" s="54">
        <f>+I38/'2021-22'!I38-1</f>
        <v>-1.915233386844406E-2</v>
      </c>
      <c r="T38" s="35"/>
    </row>
    <row r="39" spans="1:27" ht="7.5" customHeight="1" outlineLevel="1" x14ac:dyDescent="0.25">
      <c r="A39" s="20"/>
      <c r="B39" s="21"/>
      <c r="C39" s="21"/>
      <c r="D39" s="21"/>
      <c r="E39" s="21"/>
      <c r="F39" s="22"/>
      <c r="G39" s="22"/>
      <c r="H39" s="23"/>
      <c r="I39" s="24"/>
      <c r="J39" s="25"/>
      <c r="K39" s="26"/>
      <c r="L39" s="26"/>
      <c r="M39" s="6"/>
      <c r="N39" s="52"/>
      <c r="O39" s="36"/>
      <c r="P39" s="37"/>
      <c r="Q39" s="34"/>
      <c r="R39" s="36"/>
      <c r="S39" s="37"/>
      <c r="T39" s="35"/>
    </row>
    <row r="40" spans="1:27" ht="15" customHeight="1" outlineLevel="1" x14ac:dyDescent="0.25">
      <c r="A40" s="55" t="s">
        <v>33</v>
      </c>
      <c r="B40" s="56">
        <f>(MIN((B23-D23)*'data from oilseed masterfile'!Z40,B23-D23-G23)*0.79)</f>
        <v>0.89465002382960057</v>
      </c>
      <c r="C40" s="56"/>
      <c r="D40" s="56"/>
      <c r="E40" s="56">
        <f>B40-D40</f>
        <v>0.89465002382960057</v>
      </c>
      <c r="F40" s="56">
        <f>(B40-D40)*0.98</f>
        <v>0.87675702335300854</v>
      </c>
      <c r="G40" s="56">
        <f>F40</f>
        <v>0.87675702335300854</v>
      </c>
      <c r="H40" s="61">
        <v>0.43</v>
      </c>
      <c r="I40" s="58">
        <f>F40*H40</f>
        <v>0.37700552004179366</v>
      </c>
      <c r="J40" s="58">
        <f>G40*H40</f>
        <v>0.37700552004179366</v>
      </c>
      <c r="K40" s="26"/>
      <c r="L40" s="26"/>
      <c r="M40" s="6">
        <f>+IF(H40&lt;15%,1,IF(H40&lt;30%,2,IF(H40&lt;50%,3,4)))</f>
        <v>3</v>
      </c>
      <c r="N40" s="52"/>
      <c r="O40" s="59">
        <f>+F40-'2019-20'!F40</f>
        <v>-0.13041161661679157</v>
      </c>
      <c r="P40" s="60">
        <f>+F40/'2019-20'!F40-1</f>
        <v>-0.12948339676332854</v>
      </c>
      <c r="Q40" s="34"/>
      <c r="R40" s="59">
        <f>+I40-'2021-22'!I40</f>
        <v>-1.560862452580225E-2</v>
      </c>
      <c r="S40" s="60">
        <f>+I40/'2021-22'!I40-1</f>
        <v>-3.9755634741567292E-2</v>
      </c>
      <c r="T40" s="35"/>
    </row>
    <row r="41" spans="1:27" ht="15" customHeight="1" outlineLevel="1" x14ac:dyDescent="0.25">
      <c r="A41" s="55" t="s">
        <v>34</v>
      </c>
      <c r="B41" s="56">
        <f>(MIN(C23*'data from oilseed masterfile'!Z40,C23-(F23-G23))*0.79-B43)</f>
        <v>9.4541342450440684</v>
      </c>
      <c r="C41" s="56"/>
      <c r="D41" s="56">
        <f>+'data from oilseed masterfile'!Z35</f>
        <v>0.76700216599999982</v>
      </c>
      <c r="E41" s="56">
        <f>B41-D41</f>
        <v>8.6871320790440691</v>
      </c>
      <c r="F41" s="56">
        <f>(B41-D41)*0.98</f>
        <v>8.5133894374631875</v>
      </c>
      <c r="G41" s="56">
        <v>0</v>
      </c>
      <c r="H41" s="61">
        <v>0.45500000000000002</v>
      </c>
      <c r="I41" s="58">
        <f>F41*H41</f>
        <v>3.8735921940457505</v>
      </c>
      <c r="J41" s="58">
        <f>G41*H41</f>
        <v>0</v>
      </c>
      <c r="K41" s="26"/>
      <c r="L41" s="26"/>
      <c r="M41" s="6">
        <f>+IF(H41&lt;15%,1,IF(H41&lt;30%,2,IF(H41&lt;50%,3,4)))</f>
        <v>3</v>
      </c>
      <c r="N41" s="52"/>
      <c r="O41" s="59">
        <f>+F41-'2019-20'!F41</f>
        <v>-0.40471501483479067</v>
      </c>
      <c r="P41" s="60">
        <f>+F41/'2019-20'!F41-1</f>
        <v>-4.5381282199549178E-2</v>
      </c>
      <c r="Q41" s="34"/>
      <c r="R41" s="59">
        <f>+I41-'2021-22'!I41</f>
        <v>-0.22013429383012983</v>
      </c>
      <c r="S41" s="60">
        <f>+I41/'2021-22'!I41-1</f>
        <v>-5.3773571459179603E-2</v>
      </c>
      <c r="T41" s="64"/>
    </row>
    <row r="42" spans="1:27" ht="15" customHeight="1" outlineLevel="1" x14ac:dyDescent="0.25">
      <c r="A42" s="55" t="s">
        <v>35</v>
      </c>
      <c r="B42" s="56"/>
      <c r="C42" s="56">
        <f>+'data from oilseed masterfile'!Z31</f>
        <v>16.780207505000003</v>
      </c>
      <c r="D42" s="56"/>
      <c r="E42" s="56">
        <f>C42</f>
        <v>16.780207505000003</v>
      </c>
      <c r="F42" s="56">
        <f>(C42-D42)</f>
        <v>16.780207505000003</v>
      </c>
      <c r="G42" s="56">
        <v>0</v>
      </c>
      <c r="H42" s="61">
        <v>0.45500000000000002</v>
      </c>
      <c r="I42" s="58">
        <f>F42*H42</f>
        <v>7.6349944147750017</v>
      </c>
      <c r="J42" s="58">
        <f>G42*H42</f>
        <v>0</v>
      </c>
      <c r="K42" s="26"/>
      <c r="L42" s="26"/>
      <c r="M42" s="6">
        <f>+IF(H42&lt;15%,1,IF(H42&lt;30%,2,IF(H42&lt;50%,3,4)))</f>
        <v>3</v>
      </c>
      <c r="N42" s="52"/>
      <c r="O42" s="59">
        <f>+F42-'2019-20'!F42</f>
        <v>-1.5754906999998042E-2</v>
      </c>
      <c r="P42" s="60">
        <f>+F42/'2019-20'!F42-1</f>
        <v>-9.3801751954036838E-4</v>
      </c>
      <c r="Q42" s="34"/>
      <c r="R42" s="59">
        <f>+I42-'2021-22'!I42</f>
        <v>0</v>
      </c>
      <c r="S42" s="60">
        <f>+I42/'2021-22'!I42-1</f>
        <v>0</v>
      </c>
      <c r="T42" s="64"/>
    </row>
    <row r="43" spans="1:27" ht="15" customHeight="1" outlineLevel="1" x14ac:dyDescent="0.25">
      <c r="A43" s="55" t="s">
        <v>36</v>
      </c>
      <c r="B43" s="56">
        <f>F43</f>
        <v>0.3</v>
      </c>
      <c r="C43" s="56"/>
      <c r="D43" s="56"/>
      <c r="E43" s="56">
        <f>B43+C43-D43</f>
        <v>0.3</v>
      </c>
      <c r="F43" s="56">
        <v>0.3</v>
      </c>
      <c r="G43" s="56">
        <v>0</v>
      </c>
      <c r="H43" s="65">
        <v>0.625</v>
      </c>
      <c r="I43" s="58">
        <f>F43*H43</f>
        <v>0.1875</v>
      </c>
      <c r="J43" s="58">
        <f>G43*H43</f>
        <v>0</v>
      </c>
      <c r="K43" s="26"/>
      <c r="L43" s="26"/>
      <c r="M43" s="6">
        <f>+IF(H43&lt;15%,1,IF(H43&lt;30%,2,IF(H43&lt;50%,3,4)))</f>
        <v>4</v>
      </c>
      <c r="N43" s="52"/>
      <c r="O43" s="59">
        <f>+F43-'2019-20'!F43</f>
        <v>0</v>
      </c>
      <c r="P43" s="60">
        <f>+F43/'2019-20'!F43-1</f>
        <v>0</v>
      </c>
      <c r="Q43" s="34"/>
      <c r="R43" s="59">
        <f>+I43-'2021-22'!I43</f>
        <v>0</v>
      </c>
      <c r="S43" s="60">
        <f>+I43/'2021-22'!I43-1</f>
        <v>0</v>
      </c>
      <c r="T43" s="64"/>
    </row>
    <row r="44" spans="1:27" ht="12.75" customHeight="1" outlineLevel="1" x14ac:dyDescent="0.25">
      <c r="A44" s="20"/>
      <c r="B44" s="21"/>
      <c r="C44" s="21"/>
      <c r="D44" s="21"/>
      <c r="E44" s="21"/>
      <c r="F44" s="22"/>
      <c r="G44" s="22"/>
      <c r="H44" s="23"/>
      <c r="I44" s="24"/>
      <c r="J44" s="25"/>
      <c r="K44" s="26"/>
      <c r="L44" s="26"/>
      <c r="M44" s="6"/>
      <c r="N44" s="52"/>
      <c r="O44" s="36"/>
      <c r="P44" s="37"/>
      <c r="Q44" s="34"/>
      <c r="R44" s="36"/>
      <c r="S44" s="37"/>
      <c r="T44" s="35"/>
    </row>
    <row r="45" spans="1:27" ht="19.5" customHeight="1" outlineLevel="1" x14ac:dyDescent="0.25">
      <c r="A45" s="48" t="s">
        <v>37</v>
      </c>
      <c r="B45" s="49">
        <f t="shared" ref="B45:E45" si="9">B47+B48+B49</f>
        <v>13.174462179987403</v>
      </c>
      <c r="C45" s="49">
        <f t="shared" si="9"/>
        <v>0.57546273200000009</v>
      </c>
      <c r="D45" s="49">
        <f t="shared" si="9"/>
        <v>0.70297471199999995</v>
      </c>
      <c r="E45" s="49">
        <f t="shared" si="9"/>
        <v>13.046950199987403</v>
      </c>
      <c r="F45" s="49">
        <f>F47+F48+F49</f>
        <v>13.046950199987403</v>
      </c>
      <c r="G45" s="49">
        <f>G47+G48+G49</f>
        <v>9.8858011271839192</v>
      </c>
      <c r="H45" s="50"/>
      <c r="I45" s="50">
        <f>SUM(I47:I49)</f>
        <v>4.3054935659958433</v>
      </c>
      <c r="J45" s="50">
        <f>SUM(J47:J49)</f>
        <v>3.2623143719706933</v>
      </c>
      <c r="K45" s="51">
        <f>IF(I45=0,0,J45/I45)</f>
        <v>0.75770973105986583</v>
      </c>
      <c r="L45" s="51">
        <f>+I45/$I$89</f>
        <v>6.0068059733249905E-2</v>
      </c>
      <c r="M45" s="6"/>
      <c r="N45" s="52"/>
      <c r="O45" s="53">
        <f>+F45-'2019-20'!F45</f>
        <v>1.6081721587055515</v>
      </c>
      <c r="P45" s="54">
        <f>+F45/'2019-20'!F45-1</f>
        <v>0.14058950640547052</v>
      </c>
      <c r="Q45" s="34"/>
      <c r="R45" s="53">
        <f>+I45-'2021-22'!I45</f>
        <v>0.31761338716881848</v>
      </c>
      <c r="S45" s="54">
        <f>+I45/'2021-22'!I45-1</f>
        <v>7.9644666571260903E-2</v>
      </c>
      <c r="T45" s="35"/>
    </row>
    <row r="46" spans="1:27" ht="7.5" customHeight="1" outlineLevel="1" x14ac:dyDescent="0.25">
      <c r="A46" s="20"/>
      <c r="B46" s="21"/>
      <c r="C46" s="21"/>
      <c r="D46" s="21"/>
      <c r="E46" s="21"/>
      <c r="F46" s="22"/>
      <c r="G46" s="22"/>
      <c r="H46" s="23"/>
      <c r="I46" s="24"/>
      <c r="J46" s="25"/>
      <c r="K46" s="26"/>
      <c r="L46" s="26"/>
      <c r="M46" s="6"/>
      <c r="N46" s="52"/>
      <c r="O46" s="36"/>
      <c r="P46" s="37"/>
      <c r="Q46" s="34"/>
      <c r="R46" s="36"/>
      <c r="S46" s="37"/>
      <c r="T46" s="35"/>
    </row>
    <row r="47" spans="1:27" ht="15" customHeight="1" outlineLevel="1" x14ac:dyDescent="0.25">
      <c r="A47" s="55" t="s">
        <v>38</v>
      </c>
      <c r="B47" s="56">
        <f>(MIN((B24-D24)*'data from oilseed masterfile'!Z41,B24-D24-G24)*0.57)</f>
        <v>10.588775839183919</v>
      </c>
      <c r="C47" s="56"/>
      <c r="D47" s="56">
        <f>+'data from oilseed masterfile'!Z36</f>
        <v>0.70297471199999995</v>
      </c>
      <c r="E47" s="56">
        <f>B47-D47</f>
        <v>9.8858011271839192</v>
      </c>
      <c r="F47" s="56">
        <f>(B47-D47)</f>
        <v>9.8858011271839192</v>
      </c>
      <c r="G47" s="56">
        <f>F47</f>
        <v>9.8858011271839192</v>
      </c>
      <c r="H47" s="61">
        <v>0.33</v>
      </c>
      <c r="I47" s="58">
        <f>F47*H47</f>
        <v>3.2623143719706933</v>
      </c>
      <c r="J47" s="58">
        <f>G47*H47</f>
        <v>3.2623143719706933</v>
      </c>
      <c r="K47" s="26"/>
      <c r="L47" s="26"/>
      <c r="M47" s="6">
        <f>+IF(H47&lt;15%,1,IF(H47&lt;30%,2,IF(H47&lt;50%,3,4)))</f>
        <v>3</v>
      </c>
      <c r="N47" s="52"/>
      <c r="O47" s="59">
        <f>+F47-'2019-20'!F47</f>
        <v>2.208679323055021</v>
      </c>
      <c r="P47" s="60">
        <f>+F47/'2019-20'!F47-1</f>
        <v>0.28769627204132053</v>
      </c>
      <c r="Q47" s="34"/>
      <c r="R47" s="59">
        <f>+I47-'2021-22'!I47</f>
        <v>0.47558826915712249</v>
      </c>
      <c r="S47" s="60">
        <f>+I47/'2021-22'!I47-1</f>
        <v>0.17066200681758881</v>
      </c>
      <c r="T47" s="35"/>
    </row>
    <row r="48" spans="1:27" ht="15" customHeight="1" outlineLevel="1" x14ac:dyDescent="0.25">
      <c r="A48" s="55" t="s">
        <v>39</v>
      </c>
      <c r="B48" s="56">
        <f>C24*'data from oilseed masterfile'!Z41*0.57</f>
        <v>2.5856863408034836</v>
      </c>
      <c r="C48" s="56"/>
      <c r="D48" s="56"/>
      <c r="E48" s="56">
        <f>B48-D48</f>
        <v>2.5856863408034836</v>
      </c>
      <c r="F48" s="56">
        <f>(B48-D48)</f>
        <v>2.5856863408034836</v>
      </c>
      <c r="G48" s="56">
        <v>0</v>
      </c>
      <c r="H48" s="61">
        <v>0.33</v>
      </c>
      <c r="I48" s="58">
        <f>F48*H48</f>
        <v>0.85327649246514958</v>
      </c>
      <c r="J48" s="58">
        <f>G48*H48</f>
        <v>0</v>
      </c>
      <c r="K48" s="26"/>
      <c r="L48" s="26"/>
      <c r="M48" s="6">
        <f>+IF(H48&lt;15%,1,IF(H48&lt;30%,2,IF(H48&lt;50%,3,4)))</f>
        <v>3</v>
      </c>
      <c r="N48" s="52"/>
      <c r="O48" s="59">
        <f>+F48-'2019-20'!F48</f>
        <v>-0.70741053334946935</v>
      </c>
      <c r="P48" s="60">
        <f>+F48/'2019-20'!F48-1</f>
        <v>-0.214816192897887</v>
      </c>
      <c r="Q48" s="34"/>
      <c r="R48" s="59">
        <f>+I48-'2021-22'!I48</f>
        <v>-0.15797488198830456</v>
      </c>
      <c r="S48" s="60">
        <f>+I48/'2021-22'!I48-1</f>
        <v>-0.15621722351050893</v>
      </c>
      <c r="T48" s="64"/>
    </row>
    <row r="49" spans="1:27" ht="15" customHeight="1" outlineLevel="1" x14ac:dyDescent="0.25">
      <c r="A49" s="55" t="s">
        <v>40</v>
      </c>
      <c r="B49" s="56"/>
      <c r="C49" s="56">
        <f>+'data from oilseed masterfile'!Z32</f>
        <v>0.57546273200000009</v>
      </c>
      <c r="D49" s="56"/>
      <c r="E49" s="56">
        <f>C49</f>
        <v>0.57546273200000009</v>
      </c>
      <c r="F49" s="56">
        <f>IF((C49-D49)&lt;0,0,C49-D49)</f>
        <v>0.57546273200000009</v>
      </c>
      <c r="G49" s="56">
        <v>0</v>
      </c>
      <c r="H49" s="61">
        <v>0.33</v>
      </c>
      <c r="I49" s="58">
        <f>F49*H49</f>
        <v>0.18990270156000003</v>
      </c>
      <c r="J49" s="58">
        <f>G49*H49</f>
        <v>0</v>
      </c>
      <c r="K49" s="26"/>
      <c r="L49" s="26"/>
      <c r="M49" s="6">
        <f>+IF(H49&lt;15%,1,IF(H49&lt;30%,2,IF(H49&lt;50%,3,4)))</f>
        <v>3</v>
      </c>
      <c r="N49" s="52"/>
      <c r="O49" s="59">
        <f>+F49-'2019-20'!F49</f>
        <v>0.10690336900000014</v>
      </c>
      <c r="P49" s="60">
        <f>+F49/'2019-20'!F49-1</f>
        <v>0.22815330871960438</v>
      </c>
      <c r="Q49" s="34"/>
      <c r="R49" s="59">
        <f>+I49-'2021-22'!I49</f>
        <v>0</v>
      </c>
      <c r="S49" s="60">
        <f>+I49/'2021-22'!I49-1</f>
        <v>0</v>
      </c>
      <c r="T49" s="64"/>
      <c r="U49" s="52"/>
      <c r="V49" s="52"/>
      <c r="W49" s="52"/>
      <c r="X49" s="52"/>
      <c r="Y49" s="52"/>
      <c r="Z49" s="52"/>
      <c r="AA49" s="52"/>
    </row>
    <row r="50" spans="1:27" ht="12.75" customHeight="1" outlineLevel="1" x14ac:dyDescent="0.25">
      <c r="A50" s="20"/>
      <c r="B50" s="21"/>
      <c r="C50" s="21"/>
      <c r="D50" s="21"/>
      <c r="E50" s="21"/>
      <c r="F50" s="22"/>
      <c r="G50" s="22"/>
      <c r="H50" s="23"/>
      <c r="I50" s="24"/>
      <c r="J50" s="25"/>
      <c r="K50" s="26"/>
      <c r="L50" s="26"/>
      <c r="M50" s="6"/>
      <c r="N50" s="52"/>
      <c r="O50" s="36"/>
      <c r="P50" s="37"/>
      <c r="Q50" s="34"/>
      <c r="R50" s="36"/>
      <c r="S50" s="37"/>
      <c r="T50" s="35"/>
      <c r="U50" s="52"/>
      <c r="V50" s="52"/>
      <c r="W50" s="52"/>
      <c r="X50" s="52"/>
      <c r="Y50" s="52"/>
      <c r="Z50" s="52"/>
      <c r="AA50" s="52"/>
    </row>
    <row r="51" spans="1:27" ht="19.5" customHeight="1" outlineLevel="1" x14ac:dyDescent="0.25">
      <c r="A51" s="48" t="s">
        <v>41</v>
      </c>
      <c r="B51" s="49">
        <f t="shared" ref="B51:E51" si="10">B53+B54+B55</f>
        <v>5.3138094806933145</v>
      </c>
      <c r="C51" s="49">
        <f t="shared" si="10"/>
        <v>2.388796116</v>
      </c>
      <c r="D51" s="49">
        <f t="shared" si="10"/>
        <v>0.9120082399999998</v>
      </c>
      <c r="E51" s="49">
        <f t="shared" si="10"/>
        <v>6.7905973566933149</v>
      </c>
      <c r="F51" s="49">
        <f>F53+F54+F55</f>
        <v>6.7905973566933149</v>
      </c>
      <c r="G51" s="49">
        <f>G53+G54+G55</f>
        <v>3.8178472112634712</v>
      </c>
      <c r="H51" s="50"/>
      <c r="I51" s="50">
        <f>SUM(I53:I55)</f>
        <v>2.444615048409593</v>
      </c>
      <c r="J51" s="50">
        <f>SUM(J53:J55)</f>
        <v>1.3744249960548496</v>
      </c>
      <c r="K51" s="51">
        <f>IF(I51=0,0,J51/I51)</f>
        <v>0.56222553197036773</v>
      </c>
      <c r="L51" s="51">
        <f>+I51/$I$89</f>
        <v>3.4106027683426528E-2</v>
      </c>
      <c r="M51" s="6"/>
      <c r="N51" s="52"/>
      <c r="O51" s="53">
        <f>+F51-'2019-20'!F51</f>
        <v>-0.79019081097153698</v>
      </c>
      <c r="P51" s="54">
        <f>+F51/'2019-20'!F51-1</f>
        <v>-0.1042359703892034</v>
      </c>
      <c r="Q51" s="34"/>
      <c r="R51" s="53">
        <f>+I51-'2021-22'!I51</f>
        <v>-3.1015101304458614E-2</v>
      </c>
      <c r="S51" s="54">
        <f>+I51/'2021-22'!I51-1</f>
        <v>-1.2528164317291535E-2</v>
      </c>
      <c r="T51" s="35"/>
    </row>
    <row r="52" spans="1:27" ht="7.5" customHeight="1" outlineLevel="1" x14ac:dyDescent="0.25">
      <c r="A52" s="20"/>
      <c r="B52" s="21"/>
      <c r="C52" s="21"/>
      <c r="D52" s="21"/>
      <c r="E52" s="21"/>
      <c r="F52" s="22"/>
      <c r="G52" s="22"/>
      <c r="H52" s="23"/>
      <c r="I52" s="24"/>
      <c r="J52" s="25"/>
      <c r="K52" s="26"/>
      <c r="L52" s="26"/>
      <c r="M52" s="6"/>
      <c r="N52" s="52"/>
      <c r="O52" s="36"/>
      <c r="P52" s="37"/>
      <c r="Q52" s="34"/>
      <c r="R52" s="36"/>
      <c r="S52" s="37"/>
      <c r="T52" s="35"/>
    </row>
    <row r="53" spans="1:27" ht="15" customHeight="1" outlineLevel="1" x14ac:dyDescent="0.25">
      <c r="A53" s="55" t="s">
        <v>42</v>
      </c>
      <c r="B53" s="56">
        <f>MIN((B25-D25)*'data from oilseed masterfile'!Z42,B25-D25-F25)*55%</f>
        <v>4.7298554512634707</v>
      </c>
      <c r="C53" s="56"/>
      <c r="D53" s="56">
        <f>+'data from oilseed masterfile'!Z37</f>
        <v>0.9120082399999998</v>
      </c>
      <c r="E53" s="56">
        <f>B53-D53</f>
        <v>3.8178472112634712</v>
      </c>
      <c r="F53" s="56">
        <f>(B53-D53)</f>
        <v>3.8178472112634712</v>
      </c>
      <c r="G53" s="56">
        <f>F53</f>
        <v>3.8178472112634712</v>
      </c>
      <c r="H53" s="61">
        <v>0.36</v>
      </c>
      <c r="I53" s="58">
        <f>F53*H53</f>
        <v>1.3744249960548496</v>
      </c>
      <c r="J53" s="58">
        <f>G53*H53</f>
        <v>1.3744249960548496</v>
      </c>
      <c r="K53" s="26"/>
      <c r="L53" s="26"/>
      <c r="M53" s="6">
        <f>+IF(H53&lt;15%,1,IF(H53&lt;30%,2,IF(H53&lt;50%,3,4)))</f>
        <v>3</v>
      </c>
      <c r="N53" s="52"/>
      <c r="O53" s="59">
        <f>+F53-'2019-20'!F53</f>
        <v>-0.27377369495583626</v>
      </c>
      <c r="P53" s="60">
        <f>+F53/'2019-20'!F53-1</f>
        <v>-6.6910816331908318E-2</v>
      </c>
      <c r="Q53" s="34"/>
      <c r="R53" s="59">
        <f>+I53-'2021-22'!I53</f>
        <v>-3.9854004621722172E-2</v>
      </c>
      <c r="S53" s="60">
        <f>+I53/'2021-22'!I53-1</f>
        <v>-2.8179732996570395E-2</v>
      </c>
      <c r="T53" s="35"/>
    </row>
    <row r="54" spans="1:27" ht="15" customHeight="1" outlineLevel="1" x14ac:dyDescent="0.25">
      <c r="A54" s="55" t="s">
        <v>43</v>
      </c>
      <c r="B54" s="56">
        <f>C25*'data from oilseed masterfile'!Z42*55%</f>
        <v>0.58395402942984342</v>
      </c>
      <c r="C54" s="56"/>
      <c r="D54" s="56"/>
      <c r="E54" s="56">
        <f>B54-D54</f>
        <v>0.58395402942984342</v>
      </c>
      <c r="F54" s="56">
        <f>(B54-D54)</f>
        <v>0.58395402942984342</v>
      </c>
      <c r="G54" s="56">
        <v>0</v>
      </c>
      <c r="H54" s="61">
        <v>0.36</v>
      </c>
      <c r="I54" s="58">
        <f>F54*H54</f>
        <v>0.21022345059474362</v>
      </c>
      <c r="J54" s="58">
        <f>G54*H54</f>
        <v>0</v>
      </c>
      <c r="K54" s="26"/>
      <c r="L54" s="26"/>
      <c r="M54" s="6">
        <f>+IF(H54&lt;15%,1,IF(H54&lt;30%,2,IF(H54&lt;50%,3,4)))</f>
        <v>3</v>
      </c>
      <c r="N54" s="52"/>
      <c r="O54" s="59">
        <f>+F54-'2019-20'!F54</f>
        <v>0.11355158598429876</v>
      </c>
      <c r="P54" s="60">
        <f>+F54/'2019-20'!F54-1</f>
        <v>0.24139242379901438</v>
      </c>
      <c r="Q54" s="34"/>
      <c r="R54" s="59">
        <f>+I54-'2021-22'!I54</f>
        <v>8.8389033172635856E-3</v>
      </c>
      <c r="S54" s="60">
        <f>+I54/'2021-22'!I54-1</f>
        <v>4.3890673027085825E-2</v>
      </c>
      <c r="T54" s="64"/>
      <c r="U54" s="52"/>
      <c r="V54" s="52"/>
      <c r="W54" s="52"/>
      <c r="X54" s="52"/>
      <c r="Y54" s="52"/>
      <c r="Z54" s="52"/>
      <c r="AA54" s="52"/>
    </row>
    <row r="55" spans="1:27" ht="15" customHeight="1" outlineLevel="1" x14ac:dyDescent="0.25">
      <c r="A55" s="55" t="s">
        <v>44</v>
      </c>
      <c r="B55" s="56"/>
      <c r="C55" s="56">
        <f>+'data from oilseed masterfile'!Z33</f>
        <v>2.388796116</v>
      </c>
      <c r="D55" s="56"/>
      <c r="E55" s="56">
        <f>C55</f>
        <v>2.388796116</v>
      </c>
      <c r="F55" s="56">
        <f>C55-D55</f>
        <v>2.388796116</v>
      </c>
      <c r="G55" s="56">
        <v>0</v>
      </c>
      <c r="H55" s="61">
        <v>0.36</v>
      </c>
      <c r="I55" s="58">
        <f>F55*H55</f>
        <v>0.85996660175999995</v>
      </c>
      <c r="J55" s="58">
        <f>G55*H55</f>
        <v>0</v>
      </c>
      <c r="K55" s="26"/>
      <c r="L55" s="26"/>
      <c r="M55" s="6">
        <f>+IF(H55&lt;15%,1,IF(H55&lt;30%,2,IF(H55&lt;50%,3,4)))</f>
        <v>3</v>
      </c>
      <c r="N55" s="52"/>
      <c r="O55" s="59">
        <f>+F55-'2019-20'!F55</f>
        <v>-0.62996870200000021</v>
      </c>
      <c r="P55" s="60">
        <f>+F55/'2019-20'!F55-1</f>
        <v>-0.20868425994753992</v>
      </c>
      <c r="Q55" s="34"/>
      <c r="R55" s="59">
        <f>+I55-'2021-22'!I55</f>
        <v>0</v>
      </c>
      <c r="S55" s="60">
        <f>+I55/'2021-22'!I55-1</f>
        <v>0</v>
      </c>
      <c r="T55" s="64"/>
      <c r="U55" s="52"/>
      <c r="V55" s="52"/>
      <c r="W55" s="52"/>
      <c r="X55" s="52"/>
      <c r="Y55" s="52"/>
      <c r="Z55" s="52"/>
      <c r="AA55" s="52"/>
    </row>
    <row r="56" spans="1:27" ht="12.75" customHeight="1" outlineLevel="1" x14ac:dyDescent="0.25">
      <c r="A56" s="20"/>
      <c r="B56" s="21"/>
      <c r="C56" s="21"/>
      <c r="D56" s="21"/>
      <c r="E56" s="21"/>
      <c r="F56" s="22"/>
      <c r="G56" s="22"/>
      <c r="H56" s="23"/>
      <c r="I56" s="24"/>
      <c r="J56" s="25"/>
      <c r="K56" s="26"/>
      <c r="L56" s="26"/>
      <c r="M56" s="6"/>
      <c r="N56" s="52"/>
      <c r="O56" s="36"/>
      <c r="P56" s="37"/>
      <c r="Q56" s="34"/>
      <c r="R56" s="36"/>
      <c r="S56" s="37"/>
      <c r="T56" s="35"/>
      <c r="U56" s="52"/>
      <c r="V56" s="52"/>
      <c r="W56" s="52"/>
      <c r="X56" s="52"/>
      <c r="Y56" s="52"/>
      <c r="Z56" s="52"/>
      <c r="AA56" s="52"/>
    </row>
    <row r="57" spans="1:27" ht="19.5" customHeight="1" outlineLevel="1" x14ac:dyDescent="0.25">
      <c r="A57" s="48" t="s">
        <v>45</v>
      </c>
      <c r="B57" s="49">
        <f t="shared" ref="B57:E57" si="11">B59+B60+B61</f>
        <v>0.63600000000000001</v>
      </c>
      <c r="C57" s="49">
        <f t="shared" si="11"/>
        <v>1.3971514479999998</v>
      </c>
      <c r="D57" s="49">
        <f t="shared" si="11"/>
        <v>0.11315241499999998</v>
      </c>
      <c r="E57" s="49">
        <f t="shared" si="11"/>
        <v>1.9199990329999999</v>
      </c>
      <c r="F57" s="49">
        <f>F59+F60+F61</f>
        <v>1.9199990329999999</v>
      </c>
      <c r="G57" s="49">
        <f>G59+G60+G61</f>
        <v>0.12755003500000001</v>
      </c>
      <c r="H57" s="50"/>
      <c r="I57" s="50">
        <f>SUM(I59:I61)</f>
        <v>0.43475755568000007</v>
      </c>
      <c r="J57" s="50">
        <f>SUM(J59:J61)</f>
        <v>6.4361837830000004E-2</v>
      </c>
      <c r="K57" s="51">
        <f>IF(I57=0,0,J57/I57)</f>
        <v>0.14804075740404851</v>
      </c>
      <c r="L57" s="51">
        <f>+I57/$I$89</f>
        <v>6.0655166298054057E-3</v>
      </c>
      <c r="M57" s="6"/>
      <c r="N57" s="52"/>
      <c r="O57" s="53">
        <f>+F57-'2019-20'!F57</f>
        <v>-0.18790316300000054</v>
      </c>
      <c r="P57" s="54">
        <f>+F57/'2019-20'!F57-1</f>
        <v>-8.9142258761611193E-2</v>
      </c>
      <c r="Q57" s="34"/>
      <c r="R57" s="53">
        <f>+I57-'2021-22'!I57</f>
        <v>0</v>
      </c>
      <c r="S57" s="54">
        <f>+I57/'2021-22'!I57-1</f>
        <v>0</v>
      </c>
      <c r="T57" s="35"/>
    </row>
    <row r="58" spans="1:27" ht="7.5" customHeight="1" outlineLevel="1" x14ac:dyDescent="0.25">
      <c r="A58" s="20"/>
      <c r="B58" s="21"/>
      <c r="C58" s="21"/>
      <c r="D58" s="21"/>
      <c r="E58" s="21"/>
      <c r="F58" s="22"/>
      <c r="G58" s="22"/>
      <c r="H58" s="23"/>
      <c r="I58" s="24"/>
      <c r="J58" s="25"/>
      <c r="K58" s="26"/>
      <c r="L58" s="26"/>
      <c r="M58" s="6"/>
      <c r="N58" s="52"/>
      <c r="O58" s="36"/>
      <c r="P58" s="37"/>
      <c r="Q58" s="34"/>
      <c r="R58" s="36"/>
      <c r="S58" s="37"/>
      <c r="T58" s="35"/>
    </row>
    <row r="59" spans="1:27" ht="15" customHeight="1" outlineLevel="1" x14ac:dyDescent="0.25">
      <c r="A59" s="55" t="s">
        <v>46</v>
      </c>
      <c r="B59" s="56">
        <v>0</v>
      </c>
      <c r="C59" s="56">
        <v>1.3322345759999998</v>
      </c>
      <c r="D59" s="56">
        <v>8.175392799999999E-2</v>
      </c>
      <c r="E59" s="56">
        <f>B59+C59-D59</f>
        <v>1.2504806479999999</v>
      </c>
      <c r="F59" s="56">
        <f>E59</f>
        <v>1.2504806479999999</v>
      </c>
      <c r="G59" s="56">
        <f>IF(B59&gt;E59,F59,F59*(B59-D59)/E59)</f>
        <v>-8.175392799999999E-2</v>
      </c>
      <c r="H59" s="63">
        <v>0.16</v>
      </c>
      <c r="I59" s="58">
        <f>F59*H59</f>
        <v>0.20007690368</v>
      </c>
      <c r="J59" s="58">
        <f>G59*H59</f>
        <v>-1.3080628479999998E-2</v>
      </c>
      <c r="K59" s="26"/>
      <c r="L59" s="26"/>
      <c r="M59" s="6">
        <f>+IF(H59&lt;15%,1,IF(H59&lt;30%,2,IF(H59&lt;50%,3,4)))</f>
        <v>2</v>
      </c>
      <c r="N59" s="52"/>
      <c r="O59" s="59">
        <f>+F59-'2019-20'!F59</f>
        <v>-0.22492492200000025</v>
      </c>
      <c r="P59" s="60">
        <f>+F59/'2019-20'!F59-1</f>
        <v>-0.15244955459941789</v>
      </c>
      <c r="Q59" s="34"/>
      <c r="R59" s="59">
        <f>+I59-'2021-22'!I59</f>
        <v>0</v>
      </c>
      <c r="S59" s="60">
        <f>+I59/'2021-22'!I59-1</f>
        <v>0</v>
      </c>
      <c r="T59" s="35"/>
    </row>
    <row r="60" spans="1:27" ht="15" customHeight="1" outlineLevel="4" x14ac:dyDescent="0.25">
      <c r="A60" s="55" t="s">
        <v>47</v>
      </c>
      <c r="B60" s="56">
        <v>0.40200000000000002</v>
      </c>
      <c r="C60" s="56">
        <v>3.9407465000000003E-2</v>
      </c>
      <c r="D60" s="56">
        <v>6.7024500000000004E-3</v>
      </c>
      <c r="E60" s="56">
        <f>B60+C60-D60</f>
        <v>0.43470501500000003</v>
      </c>
      <c r="F60" s="56">
        <f>E60</f>
        <v>0.43470501500000003</v>
      </c>
      <c r="G60" s="56">
        <v>0</v>
      </c>
      <c r="H60" s="61">
        <v>0.34</v>
      </c>
      <c r="I60" s="58">
        <f>F60*H60</f>
        <v>0.14779970510000001</v>
      </c>
      <c r="J60" s="58">
        <f>G60*H60</f>
        <v>0</v>
      </c>
      <c r="K60" s="26"/>
      <c r="L60" s="26"/>
      <c r="M60" s="6">
        <f>+IF(H60&lt;15%,1,IF(H60&lt;30%,2,IF(H60&lt;50%,3,4)))</f>
        <v>3</v>
      </c>
      <c r="N60" s="52"/>
      <c r="O60" s="59">
        <f>+F60-'2019-20'!F60</f>
        <v>2.5425740000000197E-3</v>
      </c>
      <c r="P60" s="60">
        <f>+F60/'2019-20'!F60-1</f>
        <v>5.8833756911327306E-3</v>
      </c>
      <c r="Q60" s="34"/>
      <c r="R60" s="59">
        <f>+I60-'2021-22'!I60</f>
        <v>0</v>
      </c>
      <c r="S60" s="60">
        <f>+I60/'2021-22'!I60-1</f>
        <v>0</v>
      </c>
      <c r="T60" s="64"/>
      <c r="U60" s="52"/>
      <c r="V60" s="52"/>
      <c r="W60" s="52"/>
      <c r="X60" s="52"/>
      <c r="Y60" s="52"/>
      <c r="Z60" s="52"/>
      <c r="AA60" s="52"/>
    </row>
    <row r="61" spans="1:27" ht="15" customHeight="1" outlineLevel="4" x14ac:dyDescent="0.25">
      <c r="A61" s="55" t="s">
        <v>48</v>
      </c>
      <c r="B61" s="56">
        <v>0.23400000000000001</v>
      </c>
      <c r="C61" s="56">
        <v>2.5509406999999994E-2</v>
      </c>
      <c r="D61" s="56">
        <v>2.4696036999999997E-2</v>
      </c>
      <c r="E61" s="56">
        <f>B61+C61-D61</f>
        <v>0.23481337000000002</v>
      </c>
      <c r="F61" s="56">
        <f>E61</f>
        <v>0.23481337000000002</v>
      </c>
      <c r="G61" s="56">
        <f>IF(B61&gt;E61,F61,F61*(B61-D61)/E61)</f>
        <v>0.20930396300000001</v>
      </c>
      <c r="H61" s="61">
        <v>0.37</v>
      </c>
      <c r="I61" s="58">
        <f>F61*H61</f>
        <v>8.6880946900000006E-2</v>
      </c>
      <c r="J61" s="58">
        <f>G61*H61</f>
        <v>7.7442466309999999E-2</v>
      </c>
      <c r="K61" s="26"/>
      <c r="L61" s="26"/>
      <c r="M61" s="6">
        <f>+IF(H61&lt;15%,1,IF(H61&lt;30%,2,IF(H61&lt;50%,3,4)))</f>
        <v>3</v>
      </c>
      <c r="N61" s="52"/>
      <c r="O61" s="59">
        <f>+F61-'2019-20'!F61</f>
        <v>3.4479185000000023E-2</v>
      </c>
      <c r="P61" s="60">
        <f>+F61/'2019-20'!F61-1</f>
        <v>0.17210834486385851</v>
      </c>
      <c r="Q61" s="34"/>
      <c r="R61" s="59">
        <f>+I61-'2021-22'!I61</f>
        <v>0</v>
      </c>
      <c r="S61" s="60">
        <f>+I61/'2021-22'!I61-1</f>
        <v>0</v>
      </c>
      <c r="T61" s="64"/>
      <c r="U61" s="52"/>
      <c r="V61" s="52"/>
      <c r="W61" s="52"/>
      <c r="X61" s="52"/>
      <c r="Y61" s="52"/>
      <c r="Z61" s="52"/>
      <c r="AA61" s="52"/>
    </row>
    <row r="62" spans="1:27" ht="12.75" customHeight="1" outlineLevel="1" x14ac:dyDescent="0.25">
      <c r="A62" s="20"/>
      <c r="B62" s="21"/>
      <c r="C62" s="21"/>
      <c r="D62" s="21"/>
      <c r="E62" s="21"/>
      <c r="F62" s="22"/>
      <c r="G62" s="22"/>
      <c r="H62" s="23"/>
      <c r="I62" s="24"/>
      <c r="J62" s="25"/>
      <c r="K62" s="26"/>
      <c r="L62" s="26"/>
      <c r="M62" s="6"/>
      <c r="N62" s="52"/>
      <c r="O62" s="36"/>
      <c r="P62" s="37"/>
      <c r="Q62" s="34"/>
      <c r="R62" s="36"/>
      <c r="S62" s="37"/>
      <c r="T62" s="35"/>
      <c r="U62" s="52"/>
      <c r="V62" s="52"/>
      <c r="W62" s="52"/>
      <c r="X62" s="52"/>
      <c r="Y62" s="52"/>
      <c r="Z62" s="52"/>
      <c r="AA62" s="52"/>
    </row>
    <row r="63" spans="1:27" ht="19.5" customHeight="1" x14ac:dyDescent="0.25">
      <c r="A63" s="48" t="s">
        <v>49</v>
      </c>
      <c r="B63" s="49">
        <f t="shared" ref="B63:E63" si="12">SUM(B65:B72)</f>
        <v>30.117316458481433</v>
      </c>
      <c r="C63" s="49">
        <f t="shared" ref="C63:D63" si="13">SUM(C65:C72)</f>
        <v>3.6690443789999998</v>
      </c>
      <c r="D63" s="49">
        <f t="shared" si="13"/>
        <v>1.1712606139999999</v>
      </c>
      <c r="E63" s="49">
        <f t="shared" si="12"/>
        <v>32.615100223481434</v>
      </c>
      <c r="F63" s="49">
        <f>SUM(F65:F72)</f>
        <v>29.579194214601433</v>
      </c>
      <c r="G63" s="49">
        <f>SUM(G65:G72)</f>
        <v>27.646925015601433</v>
      </c>
      <c r="H63" s="50"/>
      <c r="I63" s="50">
        <f>SUM(I65:I72)</f>
        <v>4.4407211333375383</v>
      </c>
      <c r="J63" s="50">
        <f>SUM(J65:J72)</f>
        <v>4.1517503017915383</v>
      </c>
      <c r="K63" s="51">
        <f>IF(I63=0,0,J63/I63)</f>
        <v>0.93492704836234186</v>
      </c>
      <c r="L63" s="51">
        <f>+I63/$I$89</f>
        <v>6.1954686078906571E-2</v>
      </c>
      <c r="M63" s="6"/>
      <c r="N63" s="52"/>
      <c r="O63" s="53">
        <f>+F63-'2019-20'!F63</f>
        <v>-0.44196112122147824</v>
      </c>
      <c r="P63" s="54">
        <f>+F63/'2019-20'!F63-1</f>
        <v>-1.4721655988172655E-2</v>
      </c>
      <c r="Q63" s="34"/>
      <c r="R63" s="53">
        <f>+I63-'2021-22'!I63</f>
        <v>0</v>
      </c>
      <c r="S63" s="54">
        <f>+I63/'2021-22'!I63-1</f>
        <v>0</v>
      </c>
      <c r="T63" s="35"/>
      <c r="U63" s="52"/>
      <c r="V63" s="52"/>
      <c r="W63" s="52"/>
      <c r="X63" s="52"/>
      <c r="Y63" s="52"/>
      <c r="Z63" s="52"/>
      <c r="AA63" s="52"/>
    </row>
    <row r="64" spans="1:27" ht="7.5" customHeight="1" outlineLevel="2" x14ac:dyDescent="0.25">
      <c r="A64" s="20"/>
      <c r="B64" s="21"/>
      <c r="C64" s="21"/>
      <c r="D64" s="21"/>
      <c r="E64" s="21"/>
      <c r="F64" s="22"/>
      <c r="G64" s="22"/>
      <c r="H64" s="23"/>
      <c r="I64" s="24"/>
      <c r="J64" s="25"/>
      <c r="K64" s="26"/>
      <c r="L64" s="26"/>
      <c r="M64" s="6"/>
      <c r="N64" s="52"/>
      <c r="O64" s="36"/>
      <c r="P64" s="37"/>
      <c r="Q64" s="34"/>
      <c r="R64" s="36"/>
      <c r="S64" s="37"/>
      <c r="T64" s="35"/>
      <c r="U64" s="52"/>
      <c r="V64" s="52"/>
      <c r="W64" s="52"/>
      <c r="X64" s="52"/>
      <c r="Y64" s="52"/>
      <c r="Z64" s="52"/>
      <c r="AA64" s="52"/>
    </row>
    <row r="65" spans="1:27" ht="15" customHeight="1" outlineLevel="4" x14ac:dyDescent="0.25">
      <c r="A65" s="55" t="s">
        <v>50</v>
      </c>
      <c r="B65" s="56">
        <v>4</v>
      </c>
      <c r="C65" s="56">
        <v>0.43192098300000004</v>
      </c>
      <c r="D65" s="56">
        <v>0.43046820599999996</v>
      </c>
      <c r="E65" s="56">
        <f t="shared" ref="E65:E67" si="14">B65+C65-D65</f>
        <v>4.0014527770000008</v>
      </c>
      <c r="F65" s="56">
        <f>E65</f>
        <v>4.0014527770000008</v>
      </c>
      <c r="G65" s="56">
        <f>+F65</f>
        <v>4.0014527770000008</v>
      </c>
      <c r="H65" s="63">
        <v>0.19</v>
      </c>
      <c r="I65" s="58">
        <f>F65*H65</f>
        <v>0.76027602763000013</v>
      </c>
      <c r="J65" s="58">
        <f>G65*H65</f>
        <v>0.76027602763000013</v>
      </c>
      <c r="K65" s="26"/>
      <c r="L65" s="26"/>
      <c r="M65" s="6">
        <f t="shared" ref="M65:M71" si="15">+IF(H65&lt;15%,1,IF(H65&lt;30%,2,IF(H65&lt;50%,3,4)))</f>
        <v>2</v>
      </c>
      <c r="N65" s="52"/>
      <c r="O65" s="59">
        <f>+F65-'2019-20'!F65</f>
        <v>0.18421222542773652</v>
      </c>
      <c r="P65" s="60">
        <f>+F65/'2019-20'!F65-1</f>
        <v>4.8257955698354449E-2</v>
      </c>
      <c r="Q65" s="34"/>
      <c r="R65" s="59">
        <f>+I65-'2021-22'!I65</f>
        <v>0</v>
      </c>
      <c r="S65" s="60">
        <f>+I65/'2021-22'!I65-1</f>
        <v>0</v>
      </c>
      <c r="T65" s="64"/>
      <c r="U65" s="52"/>
      <c r="V65" s="52"/>
      <c r="W65" s="52"/>
      <c r="X65" s="52"/>
      <c r="Y65" s="52"/>
      <c r="Z65" s="52"/>
      <c r="AA65" s="52"/>
    </row>
    <row r="66" spans="1:27" ht="15.75" outlineLevel="4" x14ac:dyDescent="0.25">
      <c r="A66" s="55" t="s">
        <v>51</v>
      </c>
      <c r="B66" s="56">
        <v>1.1000000000000001</v>
      </c>
      <c r="C66" s="56"/>
      <c r="D66" s="56"/>
      <c r="E66" s="56">
        <f t="shared" si="14"/>
        <v>1.1000000000000001</v>
      </c>
      <c r="F66" s="56">
        <v>0.7</v>
      </c>
      <c r="G66" s="56">
        <f>+F66</f>
        <v>0.7</v>
      </c>
      <c r="H66" s="65">
        <v>0.73</v>
      </c>
      <c r="I66" s="58">
        <f>F66*H66</f>
        <v>0.51100000000000001</v>
      </c>
      <c r="J66" s="58">
        <f>G66*H66</f>
        <v>0.51100000000000001</v>
      </c>
      <c r="K66" s="26"/>
      <c r="L66" s="26"/>
      <c r="M66" s="6">
        <f t="shared" si="15"/>
        <v>4</v>
      </c>
      <c r="N66" s="52"/>
      <c r="O66" s="59">
        <f>+F66-'2019-20'!F66</f>
        <v>3.85629316950582E-2</v>
      </c>
      <c r="P66" s="60">
        <f>+F66/'2019-20'!F66-1</f>
        <v>5.8301739565160826E-2</v>
      </c>
      <c r="Q66" s="34"/>
      <c r="R66" s="59">
        <f>+I66-'2021-22'!I66</f>
        <v>0</v>
      </c>
      <c r="S66" s="60">
        <f>+I66/'2021-22'!I66-1</f>
        <v>0</v>
      </c>
      <c r="T66" s="64"/>
      <c r="U66" s="52"/>
      <c r="V66" s="52"/>
      <c r="W66" s="52"/>
      <c r="X66" s="52"/>
      <c r="Y66" s="52"/>
      <c r="Z66" s="52"/>
      <c r="AA66" s="52"/>
    </row>
    <row r="67" spans="1:27" ht="29.25" customHeight="1" outlineLevel="4" x14ac:dyDescent="0.25">
      <c r="A67" s="66" t="s">
        <v>52</v>
      </c>
      <c r="B67" s="67">
        <f>'data from cereal masterfile'!K60*(I77*0.362+(1-I77)*0.276)</f>
        <v>3.1026900289065629</v>
      </c>
      <c r="C67" s="67">
        <v>0.71609552700000001</v>
      </c>
      <c r="D67" s="67">
        <v>0.25749529499999996</v>
      </c>
      <c r="E67" s="67">
        <f t="shared" si="14"/>
        <v>3.5612902609065626</v>
      </c>
      <c r="F67" s="67">
        <f>E67</f>
        <v>3.5612902609065626</v>
      </c>
      <c r="G67" s="67">
        <f>IF(B67&gt;E67,F67,F67*(B67-D67)/E67)</f>
        <v>2.8451947339065629</v>
      </c>
      <c r="H67" s="68" t="s">
        <v>53</v>
      </c>
      <c r="I67" s="69">
        <f>(B67-D67)*0.3+C67*0.27</f>
        <v>1.0469042124619687</v>
      </c>
      <c r="J67" s="69">
        <f>(B67-D67)*0.3</f>
        <v>0.85355842017196881</v>
      </c>
      <c r="K67" s="26"/>
      <c r="L67" s="26"/>
      <c r="M67" s="6">
        <v>2</v>
      </c>
      <c r="N67" s="52"/>
      <c r="O67" s="59">
        <f>+F67-'2019-20'!F67</f>
        <v>0.30605027091115167</v>
      </c>
      <c r="P67" s="70">
        <f>+F67/'2019-20'!F67-1</f>
        <v>9.4017728908393883E-2</v>
      </c>
      <c r="Q67" s="34"/>
      <c r="R67" s="59">
        <f>+I67-'2021-22'!I67</f>
        <v>0</v>
      </c>
      <c r="S67" s="70">
        <f>+I67/'2021-22'!I67-1</f>
        <v>0</v>
      </c>
      <c r="T67" s="64"/>
      <c r="U67" s="52"/>
      <c r="V67" s="52"/>
      <c r="W67" s="52"/>
      <c r="X67" s="52"/>
      <c r="Y67" s="52"/>
      <c r="Z67" s="52"/>
      <c r="AA67" s="52"/>
    </row>
    <row r="68" spans="1:27" ht="15" customHeight="1" outlineLevel="4" x14ac:dyDescent="0.25">
      <c r="A68" s="55" t="s">
        <v>54</v>
      </c>
      <c r="B68" s="56">
        <v>6.0898030488749999</v>
      </c>
      <c r="C68" s="56"/>
      <c r="D68" s="56"/>
      <c r="E68" s="56">
        <f>B68+C68-D68</f>
        <v>6.0898030488749999</v>
      </c>
      <c r="F68" s="56">
        <f>E68</f>
        <v>6.0898030488749999</v>
      </c>
      <c r="G68" s="56">
        <f>+F68</f>
        <v>6.0898030488749999</v>
      </c>
      <c r="H68" s="57">
        <v>5.3999999999999999E-2</v>
      </c>
      <c r="I68" s="58">
        <f>+F68*$H$68</f>
        <v>0.32884936463924996</v>
      </c>
      <c r="J68" s="58">
        <f>+G68*$H$68</f>
        <v>0.32884936463924996</v>
      </c>
      <c r="K68" s="26"/>
      <c r="L68" s="26"/>
      <c r="M68" s="6">
        <f t="shared" si="15"/>
        <v>1</v>
      </c>
      <c r="N68" s="52"/>
      <c r="O68" s="59">
        <f>+F68-'2019-20'!F68</f>
        <v>-0.22068016110000066</v>
      </c>
      <c r="P68" s="60">
        <f>+F68/'2019-20'!F68-1</f>
        <v>-3.4970406188732261E-2</v>
      </c>
      <c r="Q68" s="34"/>
      <c r="R68" s="59">
        <f>+I68-'2021-22'!I68</f>
        <v>0</v>
      </c>
      <c r="S68" s="60">
        <f>+I68/'2019-20'!I68-1</f>
        <v>-3.4970406188732372E-2</v>
      </c>
      <c r="T68" s="64"/>
      <c r="U68" s="52"/>
      <c r="V68" s="52"/>
      <c r="W68" s="52"/>
      <c r="X68" s="52"/>
      <c r="Y68" s="52"/>
      <c r="Z68" s="52"/>
      <c r="AA68" s="52"/>
    </row>
    <row r="69" spans="1:27" ht="15" customHeight="1" outlineLevel="4" x14ac:dyDescent="0.25">
      <c r="A69" s="55" t="s">
        <v>55</v>
      </c>
      <c r="B69" s="56">
        <f>('data from cereal masterfile'!K63+'data from cereal masterfile'!K65)*0.15</f>
        <v>7.3613873806998686</v>
      </c>
      <c r="C69" s="56">
        <v>6.1787873999999993E-2</v>
      </c>
      <c r="D69" s="56">
        <v>0.100713816</v>
      </c>
      <c r="E69" s="56">
        <f>B69+C69-D69</f>
        <v>7.322461438699869</v>
      </c>
      <c r="F69" s="56">
        <f>E69</f>
        <v>7.322461438699869</v>
      </c>
      <c r="G69" s="56">
        <f>IF(B69&gt;E69,F69,F69*(B69-D69)/E69)</f>
        <v>7.322461438699869</v>
      </c>
      <c r="H69" s="71">
        <v>0.155</v>
      </c>
      <c r="I69" s="58">
        <f>F69*H69</f>
        <v>1.1349815229984797</v>
      </c>
      <c r="J69" s="58">
        <f>G69*H69</f>
        <v>1.1349815229984797</v>
      </c>
      <c r="K69" s="26"/>
      <c r="L69" s="26"/>
      <c r="M69" s="6">
        <f t="shared" si="15"/>
        <v>2</v>
      </c>
      <c r="N69" s="52"/>
      <c r="O69" s="59">
        <f>+F69-'2019-20'!F69</f>
        <v>0.13157675586553896</v>
      </c>
      <c r="P69" s="60">
        <f>+F69/'2019-20'!F69-1</f>
        <v>1.8297714630250095E-2</v>
      </c>
      <c r="Q69" s="34"/>
      <c r="R69" s="59">
        <f>+I69-'2021-22'!I69</f>
        <v>0</v>
      </c>
      <c r="S69" s="60">
        <f>+I69/'2021-22'!I69-1</f>
        <v>0</v>
      </c>
      <c r="T69" s="64"/>
      <c r="U69" s="52"/>
      <c r="V69" s="72"/>
      <c r="W69" s="73"/>
      <c r="X69" s="73"/>
      <c r="Y69" s="73"/>
      <c r="Z69" s="74"/>
      <c r="AA69" s="74"/>
    </row>
    <row r="70" spans="1:27" ht="15.75" outlineLevel="4" x14ac:dyDescent="0.25">
      <c r="A70" s="55" t="s">
        <v>56</v>
      </c>
      <c r="B70" s="56">
        <v>0</v>
      </c>
      <c r="C70" s="56">
        <v>0.11996614099999998</v>
      </c>
      <c r="D70" s="56">
        <v>6.7959329999999988E-3</v>
      </c>
      <c r="E70" s="56">
        <f>B70+C70-D70</f>
        <v>0.11317020799999998</v>
      </c>
      <c r="F70" s="56">
        <f>E70</f>
        <v>0.11317020799999998</v>
      </c>
      <c r="G70" s="56">
        <f>IF(B70&gt;E70,F70,F70*B70/E70)</f>
        <v>0</v>
      </c>
      <c r="H70" s="57">
        <v>7.4999999999999997E-2</v>
      </c>
      <c r="I70" s="58">
        <f>F70*H70</f>
        <v>8.4877655999999989E-3</v>
      </c>
      <c r="J70" s="58">
        <f>G70*H70</f>
        <v>0</v>
      </c>
      <c r="K70" s="26"/>
      <c r="L70" s="26"/>
      <c r="M70" s="6">
        <f t="shared" si="15"/>
        <v>1</v>
      </c>
      <c r="N70" s="52"/>
      <c r="O70" s="59">
        <f>+F70-'2019-20'!F70</f>
        <v>-9.0603006E-2</v>
      </c>
      <c r="P70" s="60">
        <f>+F70/'2019-20'!F70-1</f>
        <v>-0.44462667208065931</v>
      </c>
      <c r="Q70" s="34"/>
      <c r="R70" s="59">
        <f>+I70-'2021-22'!I70</f>
        <v>0</v>
      </c>
      <c r="S70" s="60">
        <f>+I70/'2021-22'!I70-1</f>
        <v>0</v>
      </c>
      <c r="T70" s="64"/>
      <c r="U70" s="52"/>
      <c r="V70" s="72"/>
      <c r="W70" s="73"/>
      <c r="X70" s="72"/>
      <c r="Y70" s="75"/>
      <c r="Z70" s="76"/>
      <c r="AA70" s="74"/>
    </row>
    <row r="71" spans="1:27" ht="15" customHeight="1" outlineLevel="4" x14ac:dyDescent="0.25">
      <c r="A71" s="55" t="s">
        <v>57</v>
      </c>
      <c r="B71" s="56">
        <v>5.5738399999999997</v>
      </c>
      <c r="C71" s="56">
        <v>1.1030034640000002</v>
      </c>
      <c r="D71" s="56">
        <v>0.12625333999999999</v>
      </c>
      <c r="E71" s="56">
        <f>B71+C71-D71</f>
        <v>6.5505901240000002</v>
      </c>
      <c r="F71" s="56">
        <f>E71</f>
        <v>6.5505901240000002</v>
      </c>
      <c r="G71" s="56">
        <f>IF(B71&gt;E71,F71,F71*(B71-D71)/E71)</f>
        <v>5.4475866599999998</v>
      </c>
      <c r="H71" s="57">
        <v>7.9000000000000001E-2</v>
      </c>
      <c r="I71" s="58">
        <f>F71*H71</f>
        <v>0.51749661979600003</v>
      </c>
      <c r="J71" s="58">
        <f>G71*H71</f>
        <v>0.43035934613999999</v>
      </c>
      <c r="K71" s="26"/>
      <c r="L71" s="26"/>
      <c r="M71" s="6">
        <f t="shared" si="15"/>
        <v>1</v>
      </c>
      <c r="N71" s="52"/>
      <c r="O71" s="59">
        <f>+F71-'2019-20'!F71</f>
        <v>-0.7070066596200002</v>
      </c>
      <c r="P71" s="60">
        <f>+F71/'2019-20'!F71-1</f>
        <v>-9.7416084235442235E-2</v>
      </c>
      <c r="Q71" s="34"/>
      <c r="R71" s="59">
        <f>+I71-'2021-22'!I71</f>
        <v>0</v>
      </c>
      <c r="S71" s="60">
        <f>+I71/'2021-22'!I71-1</f>
        <v>0</v>
      </c>
      <c r="T71" s="64"/>
      <c r="U71" s="52"/>
      <c r="V71" s="52"/>
      <c r="W71" s="52"/>
      <c r="X71" s="52"/>
      <c r="Y71" s="52"/>
      <c r="Z71" s="52"/>
      <c r="AA71" s="52"/>
    </row>
    <row r="72" spans="1:27" ht="30" customHeight="1" outlineLevel="4" x14ac:dyDescent="0.25">
      <c r="A72" s="66" t="s">
        <v>58</v>
      </c>
      <c r="B72" s="67">
        <v>2.8895960000000001</v>
      </c>
      <c r="C72" s="67">
        <v>1.2362703899999998</v>
      </c>
      <c r="D72" s="67">
        <v>0.24953402399999999</v>
      </c>
      <c r="E72" s="67">
        <f>B72+C72-D72</f>
        <v>3.8763323659999998</v>
      </c>
      <c r="F72" s="67">
        <f>E72*0.32</f>
        <v>1.24042635712</v>
      </c>
      <c r="G72" s="67">
        <f>+IF(B72&gt;F72,F72,B72-D72)</f>
        <v>1.24042635712</v>
      </c>
      <c r="H72" s="77" t="s">
        <v>59</v>
      </c>
      <c r="I72" s="69">
        <f>G72*0.107+(F72-G72)*0.042</f>
        <v>0.13272562021184001</v>
      </c>
      <c r="J72" s="69">
        <f>G72*0.107</f>
        <v>0.13272562021184001</v>
      </c>
      <c r="K72" s="26"/>
      <c r="L72" s="26"/>
      <c r="M72" s="6">
        <v>1</v>
      </c>
      <c r="N72" s="52"/>
      <c r="O72" s="59">
        <f>+F72-'2019-20'!F72</f>
        <v>-8.4073478400960244E-2</v>
      </c>
      <c r="P72" s="70">
        <f>+F72/'2019-20'!F72-1</f>
        <v>-6.3475642764343587E-2</v>
      </c>
      <c r="Q72" s="34"/>
      <c r="R72" s="59">
        <f>+I72-'2021-22'!I72</f>
        <v>0</v>
      </c>
      <c r="S72" s="70">
        <f>+I72/'2021-22'!I72-1</f>
        <v>0</v>
      </c>
      <c r="T72" s="64"/>
      <c r="U72" s="52"/>
      <c r="V72" s="52"/>
      <c r="W72" s="52"/>
      <c r="X72" s="52"/>
      <c r="Y72" s="52"/>
      <c r="Z72" s="52"/>
      <c r="AA72" s="52"/>
    </row>
    <row r="73" spans="1:27" ht="12.75" customHeight="1" x14ac:dyDescent="0.25">
      <c r="A73" s="20"/>
      <c r="B73" s="21"/>
      <c r="C73" s="21"/>
      <c r="D73" s="21"/>
      <c r="E73" s="21"/>
      <c r="F73" s="22"/>
      <c r="G73" s="22"/>
      <c r="H73" s="23"/>
      <c r="I73" s="24"/>
      <c r="J73" s="25"/>
      <c r="K73" s="26"/>
      <c r="L73" s="26"/>
      <c r="M73" s="6"/>
      <c r="N73" s="52"/>
      <c r="O73" s="36"/>
      <c r="P73" s="37"/>
      <c r="Q73" s="34"/>
      <c r="R73" s="36"/>
      <c r="S73" s="37"/>
      <c r="T73" s="35"/>
      <c r="U73" s="52"/>
      <c r="V73" s="52"/>
      <c r="W73" s="52"/>
      <c r="X73" s="52"/>
      <c r="Y73" s="52"/>
      <c r="Z73" s="52"/>
      <c r="AA73" s="52"/>
    </row>
    <row r="74" spans="1:27" ht="36.75" customHeight="1" x14ac:dyDescent="0.25">
      <c r="A74" s="27" t="s">
        <v>60</v>
      </c>
      <c r="B74" s="28"/>
      <c r="C74" s="28"/>
      <c r="D74" s="28"/>
      <c r="E74" s="28"/>
      <c r="F74" s="29">
        <f>SUM(F76:F80)</f>
        <v>5.7014303115666234</v>
      </c>
      <c r="G74" s="29">
        <f>SUM(G76:G80)</f>
        <v>5.5403544536223155</v>
      </c>
      <c r="H74" s="30"/>
      <c r="I74" s="30">
        <f>SUM(I76:I80)</f>
        <v>1.6518108296070064</v>
      </c>
      <c r="J74" s="30">
        <f>SUM(J76:J80)</f>
        <v>1.5496818246067026</v>
      </c>
      <c r="K74" s="31">
        <f>IF(I74=0,0,J74/I74)</f>
        <v>0.93817148842364595</v>
      </c>
      <c r="L74" s="31">
        <f>+I74/$I$89</f>
        <v>2.3045225839958564E-2</v>
      </c>
      <c r="M74" s="6"/>
      <c r="N74" s="52"/>
      <c r="O74" s="32">
        <f>+F74-'2019-20'!F74</f>
        <v>-1.4502174999999617E-2</v>
      </c>
      <c r="P74" s="33">
        <f>+F74/'2019-20'!F74-1</f>
        <v>-2.5371494562054231E-3</v>
      </c>
      <c r="Q74" s="34"/>
      <c r="R74" s="32">
        <f>+I74-'2021-22'!I74</f>
        <v>0</v>
      </c>
      <c r="S74" s="33">
        <f>+I74/'2021-22'!I74-1</f>
        <v>0</v>
      </c>
      <c r="T74" s="35"/>
      <c r="U74" s="52"/>
      <c r="V74" s="52"/>
      <c r="W74" s="52"/>
      <c r="X74" s="52"/>
      <c r="Y74" s="52"/>
      <c r="Z74" s="52"/>
      <c r="AA74" s="52"/>
    </row>
    <row r="75" spans="1:27" ht="14.25" customHeight="1" outlineLevel="1" x14ac:dyDescent="0.25">
      <c r="A75" s="20" t="s">
        <v>61</v>
      </c>
      <c r="B75" s="21"/>
      <c r="C75" s="21"/>
      <c r="D75" s="21"/>
      <c r="E75" s="21"/>
      <c r="F75" s="22"/>
      <c r="G75" s="22"/>
      <c r="H75" s="23"/>
      <c r="I75" s="24"/>
      <c r="J75" s="25"/>
      <c r="K75" s="26"/>
      <c r="L75" s="26"/>
      <c r="M75" s="6"/>
      <c r="N75" s="52"/>
      <c r="O75" s="36"/>
      <c r="P75" s="37"/>
      <c r="Q75" s="34"/>
      <c r="R75" s="36"/>
      <c r="S75" s="37"/>
      <c r="T75" s="35"/>
      <c r="U75" s="52"/>
      <c r="V75" s="52"/>
      <c r="W75" s="52"/>
      <c r="X75" s="52"/>
      <c r="Y75" s="52"/>
      <c r="Z75" s="52"/>
      <c r="AA75" s="52"/>
    </row>
    <row r="76" spans="1:27" ht="15" customHeight="1" outlineLevel="1" x14ac:dyDescent="0.25">
      <c r="A76" s="55" t="s">
        <v>62</v>
      </c>
      <c r="B76" s="56">
        <v>0.38600000000000001</v>
      </c>
      <c r="C76" s="56">
        <v>0.21437394200000001</v>
      </c>
      <c r="D76" s="56">
        <v>0.14849447899999998</v>
      </c>
      <c r="E76" s="56">
        <f>B76+C76-D76</f>
        <v>0.45187946300000004</v>
      </c>
      <c r="F76" s="56">
        <f>E76</f>
        <v>0.45187946300000004</v>
      </c>
      <c r="G76" s="56">
        <f>IF(B76&gt;E76,F76,F76*B76/E76)</f>
        <v>0.38600000000000001</v>
      </c>
      <c r="H76" s="65">
        <v>0.65</v>
      </c>
      <c r="I76" s="58">
        <f>F76*H76</f>
        <v>0.29372165095000002</v>
      </c>
      <c r="J76" s="58">
        <f>G76*H76</f>
        <v>0.25090000000000001</v>
      </c>
      <c r="K76" s="26"/>
      <c r="L76" s="26"/>
      <c r="M76" s="6">
        <f>+IF(H76&lt;15%,1,IF(H76&lt;30%,2,IF(H76&lt;50%,3,4)))</f>
        <v>4</v>
      </c>
      <c r="N76" s="52"/>
      <c r="O76" s="59">
        <f>+F76-'2019-20'!F76</f>
        <v>-1.4502175000000062E-2</v>
      </c>
      <c r="P76" s="60">
        <f>+F76/'2019-20'!F76-1</f>
        <v>-3.1095081406271152E-2</v>
      </c>
      <c r="Q76" s="34"/>
      <c r="R76" s="59">
        <f>+I76-'2021-22'!I76</f>
        <v>0</v>
      </c>
      <c r="S76" s="60">
        <f>+I76/'2021-22'!I76-1</f>
        <v>0</v>
      </c>
      <c r="T76" s="34"/>
      <c r="U76" s="52"/>
      <c r="V76" s="52"/>
      <c r="W76" s="52"/>
      <c r="X76" s="52"/>
      <c r="Y76" s="52"/>
      <c r="Z76" s="52"/>
      <c r="AA76" s="52"/>
    </row>
    <row r="77" spans="1:27" ht="15.75" outlineLevel="1" x14ac:dyDescent="0.25">
      <c r="A77" s="55" t="s">
        <v>63</v>
      </c>
      <c r="B77" s="56">
        <v>2.1974376838576677</v>
      </c>
      <c r="C77" s="56">
        <v>8.4256127E-2</v>
      </c>
      <c r="D77" s="56">
        <v>0.72622293199999999</v>
      </c>
      <c r="E77" s="56">
        <f>B77+C77-D77</f>
        <v>1.5554708788576679</v>
      </c>
      <c r="F77" s="56">
        <v>0.57699999999999996</v>
      </c>
      <c r="G77" s="56">
        <f>+F77</f>
        <v>0.57699999999999996</v>
      </c>
      <c r="H77" s="57">
        <v>0.125</v>
      </c>
      <c r="I77" s="58">
        <f>F77*H77</f>
        <v>7.2124999999999995E-2</v>
      </c>
      <c r="J77" s="58">
        <f>G77*H77</f>
        <v>7.2124999999999995E-2</v>
      </c>
      <c r="K77" s="26"/>
      <c r="L77" s="26"/>
      <c r="M77" s="6">
        <f>+IF(H77&lt;15%,1,IF(H77&lt;30%,2,IF(H77&lt;50%,3,4)))</f>
        <v>1</v>
      </c>
      <c r="N77" s="52"/>
      <c r="O77" s="59">
        <f>+F77-'2019-20'!F77</f>
        <v>0</v>
      </c>
      <c r="P77" s="60">
        <f>+F77/'2019-20'!F77-1</f>
        <v>0</v>
      </c>
      <c r="Q77" s="34"/>
      <c r="R77" s="59">
        <f>+I77-'2021-22'!I77</f>
        <v>0</v>
      </c>
      <c r="S77" s="60">
        <f>+I77/'2021-22'!I77-1</f>
        <v>0</v>
      </c>
      <c r="T77" s="34"/>
      <c r="U77" s="52"/>
      <c r="V77" s="52"/>
      <c r="W77" s="52"/>
      <c r="X77" s="52"/>
      <c r="Y77" s="52"/>
      <c r="Z77" s="52"/>
      <c r="AA77" s="52"/>
    </row>
    <row r="78" spans="1:27" ht="15" customHeight="1" outlineLevel="1" x14ac:dyDescent="0.25">
      <c r="A78" s="55" t="s">
        <v>64</v>
      </c>
      <c r="B78" s="56">
        <v>1.401727330815</v>
      </c>
      <c r="C78" s="56">
        <v>3.2004805999999997E-2</v>
      </c>
      <c r="D78" s="56">
        <v>0.64291649699999998</v>
      </c>
      <c r="E78" s="56">
        <f>B78+C78-D78</f>
        <v>0.79081563981500003</v>
      </c>
      <c r="F78" s="56">
        <v>0.14499999999999999</v>
      </c>
      <c r="G78" s="56">
        <f>+F78</f>
        <v>0.14499999999999999</v>
      </c>
      <c r="H78" s="61">
        <v>0.34</v>
      </c>
      <c r="I78" s="58">
        <f>F78*H78</f>
        <v>4.9300000000000004E-2</v>
      </c>
      <c r="J78" s="58">
        <f>G78*H78</f>
        <v>4.9300000000000004E-2</v>
      </c>
      <c r="K78" s="26"/>
      <c r="L78" s="26"/>
      <c r="M78" s="6">
        <f>+IF(H78&lt;15%,1,IF(H78&lt;30%,2,IF(H78&lt;50%,3,4)))</f>
        <v>3</v>
      </c>
      <c r="N78" s="52"/>
      <c r="O78" s="59">
        <f>+F78-'2019-20'!F78</f>
        <v>0</v>
      </c>
      <c r="P78" s="60">
        <f>+F78/'2019-20'!F78-1</f>
        <v>0</v>
      </c>
      <c r="Q78" s="34"/>
      <c r="R78" s="59">
        <f>+I78-'2021-22'!I78</f>
        <v>0</v>
      </c>
      <c r="S78" s="60">
        <f>+I78/'2021-22'!I78-1</f>
        <v>0</v>
      </c>
      <c r="T78" s="34"/>
      <c r="U78" s="52"/>
      <c r="V78" s="52"/>
      <c r="W78" s="52"/>
      <c r="X78" s="52"/>
      <c r="Y78" s="52"/>
      <c r="Z78" s="52"/>
      <c r="AA78" s="52"/>
    </row>
    <row r="79" spans="1:27" ht="15" customHeight="1" outlineLevel="1" x14ac:dyDescent="0.25">
      <c r="A79" s="55" t="s">
        <v>65</v>
      </c>
      <c r="B79" s="56">
        <v>2.6832983356070965</v>
      </c>
      <c r="C79" s="56">
        <v>9.4453953999999993E-2</v>
      </c>
      <c r="D79" s="56">
        <v>1.05059704</v>
      </c>
      <c r="E79" s="56">
        <v>1.8521752764091519</v>
      </c>
      <c r="F79" s="56">
        <v>1.5275508485666232</v>
      </c>
      <c r="G79" s="56">
        <v>1.4323544536223152</v>
      </c>
      <c r="H79" s="65">
        <v>0.623</v>
      </c>
      <c r="I79" s="58">
        <f>F79*H79</f>
        <v>0.95166417865700625</v>
      </c>
      <c r="J79" s="58">
        <f>G79*H79</f>
        <v>0.8923568246067024</v>
      </c>
      <c r="K79" s="78"/>
      <c r="L79" s="78"/>
      <c r="M79" s="6">
        <f>+IF(H79&lt;15%,1,IF(H79&lt;30%,2,IF(H79&lt;50%,3,4)))</f>
        <v>4</v>
      </c>
      <c r="N79" s="52"/>
      <c r="O79" s="59">
        <f>+F79-'2019-20'!F79</f>
        <v>0</v>
      </c>
      <c r="P79" s="60">
        <f>+F79/'2019-20'!F79-1</f>
        <v>0</v>
      </c>
      <c r="Q79" s="34"/>
      <c r="R79" s="59">
        <f>+I79-'2021-22'!I79</f>
        <v>0</v>
      </c>
      <c r="S79" s="60">
        <f>+I79/'2021-22'!I79-1</f>
        <v>0</v>
      </c>
      <c r="T79" s="34"/>
      <c r="U79" s="52"/>
      <c r="V79" s="52"/>
      <c r="W79" s="52"/>
      <c r="X79" s="52"/>
      <c r="Y79" s="52"/>
      <c r="Z79" s="52"/>
      <c r="AA79" s="52"/>
    </row>
    <row r="80" spans="1:27" ht="15" customHeight="1" outlineLevel="1" x14ac:dyDescent="0.25">
      <c r="A80" s="55" t="s">
        <v>66</v>
      </c>
      <c r="B80" s="79"/>
      <c r="C80" s="79"/>
      <c r="D80" s="79"/>
      <c r="E80" s="79"/>
      <c r="F80" s="79">
        <v>3</v>
      </c>
      <c r="G80" s="79">
        <v>3</v>
      </c>
      <c r="H80" s="57">
        <f>0.095</f>
        <v>9.5000000000000001E-2</v>
      </c>
      <c r="I80" s="58">
        <f>F80*H80</f>
        <v>0.28500000000000003</v>
      </c>
      <c r="J80" s="58">
        <f>G80*H80</f>
        <v>0.28500000000000003</v>
      </c>
      <c r="K80" s="26"/>
      <c r="L80" s="26"/>
      <c r="M80" s="6">
        <f>+IF(H80&lt;15%,1,IF(H80&lt;30%,2,IF(H80&lt;50%,3,4)))</f>
        <v>1</v>
      </c>
      <c r="O80" s="59">
        <f>+F80-'2019-20'!F80</f>
        <v>0</v>
      </c>
      <c r="P80" s="60">
        <f>+F80/'2019-20'!F80-1</f>
        <v>0</v>
      </c>
      <c r="Q80" s="34"/>
      <c r="R80" s="59">
        <f>+I80-'2021-22'!I80</f>
        <v>0</v>
      </c>
      <c r="S80" s="60">
        <f>+I80/'2021-22'!I80-1</f>
        <v>0</v>
      </c>
      <c r="T80" s="34"/>
    </row>
    <row r="81" spans="1:27" ht="12.75" customHeight="1" x14ac:dyDescent="0.25">
      <c r="A81" s="80"/>
      <c r="B81" s="24"/>
      <c r="C81" s="24"/>
      <c r="D81" s="24"/>
      <c r="E81" s="24"/>
      <c r="F81" s="25"/>
      <c r="G81" s="25"/>
      <c r="H81" s="81"/>
      <c r="I81" s="24"/>
      <c r="J81" s="25"/>
      <c r="K81" s="26"/>
      <c r="L81" s="26"/>
      <c r="M81" s="6"/>
      <c r="O81" s="36"/>
      <c r="P81" s="37"/>
      <c r="Q81" s="34"/>
      <c r="R81" s="36"/>
      <c r="S81" s="37"/>
      <c r="T81" s="35"/>
    </row>
    <row r="82" spans="1:27" ht="35.25" customHeight="1" x14ac:dyDescent="0.25">
      <c r="A82" s="27" t="s">
        <v>67</v>
      </c>
      <c r="B82" s="28"/>
      <c r="C82" s="28"/>
      <c r="D82" s="28"/>
      <c r="E82" s="28"/>
      <c r="F82" s="82">
        <f>SUM(F84:F87)</f>
        <v>957.77955478171418</v>
      </c>
      <c r="G82" s="82">
        <f>SUM(G84:G87)</f>
        <v>957.77955478171418</v>
      </c>
      <c r="H82" s="30"/>
      <c r="I82" s="82">
        <f>SUM(I84:I87)</f>
        <v>29.872991118150239</v>
      </c>
      <c r="J82" s="82">
        <f>SUM(J84:J87)</f>
        <v>29.872991118150239</v>
      </c>
      <c r="K82" s="31">
        <f>IF(I82=0,0,J82/I82)</f>
        <v>1</v>
      </c>
      <c r="L82" s="31">
        <f>+I82/$I$89</f>
        <v>0.4167728013967783</v>
      </c>
      <c r="M82" s="6"/>
      <c r="O82" s="32">
        <f>+F82-'2019-20'!F82</f>
        <v>43.522359425142781</v>
      </c>
      <c r="P82" s="33">
        <f>+F82/'2019-20'!F82-1</f>
        <v>4.7604065514812222E-2</v>
      </c>
      <c r="Q82" s="34"/>
      <c r="R82" s="32">
        <f>+I82-'2021-22'!I82</f>
        <v>0</v>
      </c>
      <c r="S82" s="33">
        <f>+I82/'2021-22'!I82-1</f>
        <v>0</v>
      </c>
      <c r="T82" s="35"/>
    </row>
    <row r="83" spans="1:27" ht="7.5" customHeight="1" outlineLevel="1" x14ac:dyDescent="0.25">
      <c r="A83" s="83"/>
      <c r="B83" s="84"/>
      <c r="C83" s="84"/>
      <c r="D83" s="84"/>
      <c r="E83" s="84"/>
      <c r="F83" s="85"/>
      <c r="G83" s="85"/>
      <c r="H83" s="86"/>
      <c r="I83" s="87"/>
      <c r="J83" s="88"/>
      <c r="K83" s="89"/>
      <c r="L83" s="90"/>
      <c r="M83" s="6"/>
      <c r="N83" s="52"/>
      <c r="O83" s="91"/>
      <c r="P83" s="92"/>
      <c r="Q83" s="34"/>
      <c r="R83" s="91"/>
      <c r="S83" s="92"/>
      <c r="T83" s="35"/>
    </row>
    <row r="84" spans="1:27" ht="15" customHeight="1" outlineLevel="1" x14ac:dyDescent="0.25">
      <c r="A84" s="55" t="s">
        <v>68</v>
      </c>
      <c r="B84" s="79">
        <v>628.75894081603519</v>
      </c>
      <c r="C84" s="79"/>
      <c r="D84" s="79"/>
      <c r="E84" s="79">
        <f>+B84+C84-D84</f>
        <v>628.75894081603519</v>
      </c>
      <c r="F84" s="79">
        <f t="shared" ref="F84:G86" si="16">+E84</f>
        <v>628.75894081603519</v>
      </c>
      <c r="G84" s="79">
        <f t="shared" si="16"/>
        <v>628.75894081603519</v>
      </c>
      <c r="H84" s="57">
        <v>2.6066712037040814E-2</v>
      </c>
      <c r="I84" s="79">
        <f>+F84*H84</f>
        <v>16.389678250966377</v>
      </c>
      <c r="J84" s="79">
        <f>+H84*G84</f>
        <v>16.389678250966377</v>
      </c>
      <c r="K84" s="93"/>
      <c r="L84" s="93"/>
      <c r="M84" s="6">
        <f>+IF(H84&lt;15%,1,IF(H84&lt;30%,2,IF(H84&lt;50%,3,4)))</f>
        <v>1</v>
      </c>
      <c r="O84" s="59">
        <f>+F84-'2019-20'!F84</f>
        <v>35.475661353205055</v>
      </c>
      <c r="P84" s="60">
        <f>+F84/'2019-20'!F84-1</f>
        <v>5.9795484857293468E-2</v>
      </c>
      <c r="Q84" s="34"/>
      <c r="R84" s="59">
        <f>+I84-'2021-22'!I84</f>
        <v>0</v>
      </c>
      <c r="S84" s="60">
        <f>+I84/'2021-22'!I84-1</f>
        <v>0</v>
      </c>
      <c r="T84" s="34"/>
    </row>
    <row r="85" spans="1:27" s="96" customFormat="1" ht="15" customHeight="1" outlineLevel="1" x14ac:dyDescent="0.2">
      <c r="A85" s="55" t="s">
        <v>69</v>
      </c>
      <c r="B85" s="79">
        <v>243.5368</v>
      </c>
      <c r="C85" s="79"/>
      <c r="D85" s="79"/>
      <c r="E85" s="79">
        <f>+B85+C85-D85</f>
        <v>243.5368</v>
      </c>
      <c r="F85" s="79">
        <f t="shared" si="16"/>
        <v>243.5368</v>
      </c>
      <c r="G85" s="79">
        <f t="shared" si="16"/>
        <v>243.5368</v>
      </c>
      <c r="H85" s="57">
        <v>2.9487499999999996E-2</v>
      </c>
      <c r="I85" s="79">
        <f>+F85*H85</f>
        <v>7.1812913899999993</v>
      </c>
      <c r="J85" s="79">
        <f>+H85*G85</f>
        <v>7.1812913899999993</v>
      </c>
      <c r="K85" s="94"/>
      <c r="L85" s="94"/>
      <c r="M85" s="6">
        <f>+IF(H85&lt;15%,1,IF(H85&lt;30%,2,IF(H85&lt;50%,3,4)))</f>
        <v>1</v>
      </c>
      <c r="N85" s="95"/>
      <c r="O85" s="59">
        <f>+F85-'2019-20'!F85</f>
        <v>3.7340800000000058</v>
      </c>
      <c r="P85" s="60">
        <f>+F85/'2019-20'!F85-1</f>
        <v>1.5571466412057422E-2</v>
      </c>
      <c r="Q85" s="34"/>
      <c r="R85" s="59">
        <f>+I85-'2021-22'!I85</f>
        <v>0</v>
      </c>
      <c r="S85" s="60">
        <f>+I85/'2021-22'!I85-1</f>
        <v>0</v>
      </c>
      <c r="T85" s="34"/>
      <c r="U85" s="95"/>
      <c r="V85" s="95"/>
      <c r="W85" s="95"/>
      <c r="X85" s="95"/>
      <c r="Y85" s="95"/>
      <c r="Z85" s="95"/>
      <c r="AA85" s="95"/>
    </row>
    <row r="86" spans="1:27" ht="15" customHeight="1" outlineLevel="1" x14ac:dyDescent="0.25">
      <c r="A86" s="55" t="s">
        <v>70</v>
      </c>
      <c r="B86" s="79">
        <v>84.067690469679093</v>
      </c>
      <c r="C86" s="79"/>
      <c r="D86" s="79"/>
      <c r="E86" s="79">
        <f>+B86+C86-D86</f>
        <v>84.067690469679093</v>
      </c>
      <c r="F86" s="79">
        <f t="shared" si="16"/>
        <v>84.067690469679093</v>
      </c>
      <c r="G86" s="79">
        <f t="shared" si="16"/>
        <v>84.067690469679093</v>
      </c>
      <c r="H86" s="57">
        <v>7.2099999999999997E-2</v>
      </c>
      <c r="I86" s="79">
        <f>+F86*H86</f>
        <v>6.0612804828638627</v>
      </c>
      <c r="J86" s="79">
        <f>+H86*G86</f>
        <v>6.0612804828638627</v>
      </c>
      <c r="K86" s="94"/>
      <c r="L86" s="94"/>
      <c r="M86" s="6">
        <f>+IF(H86&lt;15%,1,IF(H86&lt;30%,2,IF(H86&lt;50%,3,4)))</f>
        <v>1</v>
      </c>
      <c r="O86" s="59">
        <f>+F86-'2019-20'!F86</f>
        <v>4.2757025039378647</v>
      </c>
      <c r="P86" s="60">
        <f>+F86/'2019-20'!F86-1</f>
        <v>5.3585611951085133E-2</v>
      </c>
      <c r="Q86" s="34"/>
      <c r="R86" s="59">
        <f>+I86-'2021-22'!I86</f>
        <v>0</v>
      </c>
      <c r="S86" s="60">
        <f>+I86/'2021-22'!I86-1</f>
        <v>0</v>
      </c>
      <c r="T86" s="34"/>
    </row>
    <row r="87" spans="1:27" ht="14.25" customHeight="1" outlineLevel="1" x14ac:dyDescent="0.25">
      <c r="A87" s="55" t="s">
        <v>71</v>
      </c>
      <c r="B87" s="56">
        <v>3.6283850000000002</v>
      </c>
      <c r="C87" s="56">
        <v>2.407991E-2</v>
      </c>
      <c r="D87" s="56">
        <v>2.236341414</v>
      </c>
      <c r="E87" s="56">
        <f>B87+C87-D87</f>
        <v>1.4161234960000004</v>
      </c>
      <c r="F87" s="56">
        <f>E87</f>
        <v>1.4161234960000004</v>
      </c>
      <c r="G87" s="56">
        <f>IF(B87&gt;E87,F87,F87*B87/E87)</f>
        <v>1.4161234960000004</v>
      </c>
      <c r="H87" s="71">
        <v>0.17</v>
      </c>
      <c r="I87" s="56">
        <f>F87*H87</f>
        <v>0.2407409943200001</v>
      </c>
      <c r="J87" s="56">
        <f>G87*H87</f>
        <v>0.2407409943200001</v>
      </c>
      <c r="K87" s="94"/>
      <c r="L87" s="94"/>
      <c r="M87" s="6">
        <f>+IF(H87&lt;15%,1,IF(H87&lt;30%,2,IF(H87&lt;50%,3,4)))</f>
        <v>2</v>
      </c>
      <c r="O87" s="59">
        <f>+F87-'2019-20'!F87</f>
        <v>3.691556799999951E-2</v>
      </c>
      <c r="P87" s="60">
        <f>+F87/'2019-20'!F87-1</f>
        <v>2.6765774217619942E-2</v>
      </c>
      <c r="Q87" s="34"/>
      <c r="R87" s="59">
        <f>+I87-'2021-22'!I87</f>
        <v>0</v>
      </c>
      <c r="S87" s="60">
        <f>+I87/'2021-22'!I87-1</f>
        <v>0</v>
      </c>
      <c r="T87" s="34"/>
    </row>
    <row r="88" spans="1:27" ht="12.75" customHeight="1" x14ac:dyDescent="0.25">
      <c r="A88" s="80"/>
      <c r="B88" s="21"/>
      <c r="C88" s="21"/>
      <c r="D88" s="21"/>
      <c r="E88" s="21"/>
      <c r="F88" s="22"/>
      <c r="G88" s="22"/>
      <c r="H88" s="23"/>
      <c r="I88" s="24"/>
      <c r="J88" s="25"/>
      <c r="K88" s="26"/>
      <c r="L88" s="26"/>
      <c r="M88" s="6"/>
      <c r="O88" s="36"/>
      <c r="P88" s="37"/>
      <c r="Q88" s="34"/>
      <c r="R88" s="36"/>
      <c r="S88" s="37"/>
      <c r="T88" s="34"/>
    </row>
    <row r="89" spans="1:27" ht="36.75" customHeight="1" x14ac:dyDescent="0.25">
      <c r="A89" s="27" t="s">
        <v>72</v>
      </c>
      <c r="B89" s="28"/>
      <c r="C89" s="28"/>
      <c r="D89" s="28"/>
      <c r="E89" s="28"/>
      <c r="F89" s="82"/>
      <c r="G89" s="82"/>
      <c r="H89" s="30"/>
      <c r="I89" s="82">
        <f>+I74+I82+I34+I6</f>
        <v>71.676920897989191</v>
      </c>
      <c r="J89" s="82">
        <f>+J74+J82+J34+J6</f>
        <v>55.030852008404814</v>
      </c>
      <c r="K89" s="31">
        <f>IF(I89=0,0,J89/I89)</f>
        <v>0.76776250038314131</v>
      </c>
      <c r="L89" s="31"/>
      <c r="M89" s="6"/>
      <c r="O89" s="32"/>
      <c r="P89" s="33"/>
      <c r="Q89" s="34"/>
      <c r="R89" s="32">
        <f>+I89-'2021-22'!I89</f>
        <v>-0.24476603709305778</v>
      </c>
      <c r="S89" s="33">
        <f>+I89/'2019-20'!I89-1</f>
        <v>1.6197384921360136E-2</v>
      </c>
      <c r="T89" s="35"/>
    </row>
    <row r="90" spans="1:27" x14ac:dyDescent="0.25">
      <c r="A90" s="97" t="s">
        <v>73</v>
      </c>
      <c r="B90" s="98"/>
      <c r="C90" s="98"/>
      <c r="D90" s="98"/>
      <c r="E90" s="98"/>
      <c r="F90" s="98"/>
      <c r="G90" s="98"/>
      <c r="H90" s="99"/>
      <c r="I90" s="5"/>
      <c r="J90" s="5"/>
      <c r="K90" s="5"/>
      <c r="L90" s="5"/>
      <c r="M90" s="6"/>
      <c r="O90" s="74"/>
      <c r="P90" s="52"/>
    </row>
    <row r="91" spans="1:27" x14ac:dyDescent="0.25">
      <c r="A91" s="100" t="s">
        <v>74</v>
      </c>
      <c r="B91" s="101"/>
      <c r="C91" s="102"/>
      <c r="D91" s="102"/>
      <c r="E91" s="103"/>
      <c r="F91" s="103"/>
      <c r="G91" s="103"/>
      <c r="H91" s="104">
        <v>1</v>
      </c>
      <c r="I91" s="105">
        <f t="shared" ref="I91:J94" si="17">+SUMIF($M$7:$M$89,$H91,I$7:I$89)</f>
        <v>46.15910754983733</v>
      </c>
      <c r="J91" s="105">
        <f t="shared" si="17"/>
        <v>44.099353076987526</v>
      </c>
      <c r="K91" s="106">
        <f>+J91/I91</f>
        <v>0.955377073297487</v>
      </c>
      <c r="L91" s="5"/>
      <c r="M91" s="6"/>
      <c r="O91" s="74"/>
      <c r="P91" s="52"/>
      <c r="R91" s="59">
        <f>+I91-'2019-20'!I91</f>
        <v>0.86210968306320979</v>
      </c>
      <c r="S91" s="60">
        <f>+I91/'2019-20'!I91-1</f>
        <v>1.9032380150199257E-2</v>
      </c>
    </row>
    <row r="92" spans="1:27" x14ac:dyDescent="0.25">
      <c r="A92" s="107" t="s">
        <v>75</v>
      </c>
      <c r="B92" s="108"/>
      <c r="C92" s="109"/>
      <c r="D92" s="109"/>
      <c r="E92" s="110"/>
      <c r="F92" s="110"/>
      <c r="G92" s="110"/>
      <c r="H92" s="111">
        <v>2</v>
      </c>
      <c r="I92" s="112">
        <f t="shared" si="17"/>
        <v>3.9587275504353192</v>
      </c>
      <c r="J92" s="112">
        <f t="shared" si="17"/>
        <v>3.5095927288601958</v>
      </c>
      <c r="K92" s="113">
        <f>+J92/I92</f>
        <v>0.88654565997457069</v>
      </c>
      <c r="L92" s="5"/>
      <c r="M92" s="6"/>
      <c r="O92" s="74"/>
      <c r="P92" s="52"/>
      <c r="R92" s="59">
        <f>+I92-'2019-20'!I92</f>
        <v>0.14669776291474479</v>
      </c>
      <c r="S92" s="60">
        <f>+I92/'2019-20'!I92-1</f>
        <v>3.8482848007900916E-2</v>
      </c>
    </row>
    <row r="93" spans="1:27" x14ac:dyDescent="0.25">
      <c r="A93" s="114" t="s">
        <v>76</v>
      </c>
      <c r="B93" s="110"/>
      <c r="C93" s="110"/>
      <c r="D93" s="110"/>
      <c r="E93" s="110"/>
      <c r="F93" s="110"/>
      <c r="G93" s="110"/>
      <c r="H93" s="115">
        <v>3</v>
      </c>
      <c r="I93" s="112">
        <f t="shared" si="17"/>
        <v>19.484410502544456</v>
      </c>
      <c r="J93" s="112">
        <f t="shared" si="17"/>
        <v>5.636859912385324</v>
      </c>
      <c r="K93" s="113">
        <f>+J93/I93</f>
        <v>0.28930102410073993</v>
      </c>
      <c r="L93" s="5"/>
      <c r="M93" s="6"/>
      <c r="O93" s="74"/>
      <c r="P93" s="52"/>
      <c r="R93" s="59">
        <f>+I93-'2019-20'!I93</f>
        <v>4.8303465986503369E-2</v>
      </c>
      <c r="S93" s="60">
        <f>+I93/'2019-20'!I93-1</f>
        <v>2.485243876031662E-3</v>
      </c>
    </row>
    <row r="94" spans="1:27" x14ac:dyDescent="0.25">
      <c r="A94" s="116" t="s">
        <v>77</v>
      </c>
      <c r="B94" s="117"/>
      <c r="C94" s="117"/>
      <c r="D94" s="117"/>
      <c r="E94" s="117"/>
      <c r="F94" s="117"/>
      <c r="G94" s="117"/>
      <c r="H94" s="118">
        <v>4</v>
      </c>
      <c r="I94" s="119">
        <f t="shared" si="17"/>
        <v>1.9438858296070063</v>
      </c>
      <c r="J94" s="119">
        <f t="shared" si="17"/>
        <v>1.6542568246067024</v>
      </c>
      <c r="K94" s="120">
        <f>+J94/I94</f>
        <v>0.85100513590406801</v>
      </c>
      <c r="L94" s="5"/>
      <c r="M94" s="6"/>
      <c r="O94" s="74"/>
      <c r="P94" s="52"/>
      <c r="R94" s="59">
        <f>+I94-'2019-20'!I94</f>
        <v>1.8724526387392748E-2</v>
      </c>
      <c r="S94" s="60">
        <f>+I94/'2019-20'!I94-1</f>
        <v>9.7262116977305801E-3</v>
      </c>
    </row>
    <row r="95" spans="1:27" ht="25.5" customHeight="1" x14ac:dyDescent="0.25">
      <c r="A95" s="303" t="s">
        <v>78</v>
      </c>
      <c r="B95" s="304"/>
      <c r="C95" s="304"/>
      <c r="D95" s="304"/>
      <c r="E95" s="304"/>
      <c r="F95" s="304"/>
      <c r="G95" s="304"/>
      <c r="H95" s="304"/>
      <c r="I95" s="304"/>
      <c r="J95" s="304"/>
      <c r="K95" s="304"/>
      <c r="L95" s="304"/>
      <c r="M95" s="6"/>
      <c r="R95" s="5"/>
      <c r="S95" s="5"/>
    </row>
    <row r="96" spans="1:27" x14ac:dyDescent="0.25">
      <c r="A96" s="5"/>
      <c r="B96" s="98"/>
      <c r="C96" s="98"/>
      <c r="D96" s="98"/>
      <c r="E96" s="98"/>
      <c r="F96" s="98"/>
      <c r="G96" s="98"/>
      <c r="H96" s="99"/>
      <c r="I96" s="5"/>
      <c r="J96" s="5"/>
      <c r="K96" s="5"/>
      <c r="L96" s="5"/>
      <c r="M96" s="6"/>
      <c r="R96" s="5"/>
      <c r="S96" s="5"/>
    </row>
  </sheetData>
  <mergeCells count="6">
    <mergeCell ref="R3:S3"/>
    <mergeCell ref="A95:L95"/>
    <mergeCell ref="B3:G3"/>
    <mergeCell ref="H3:H4"/>
    <mergeCell ref="I3:J3"/>
    <mergeCell ref="O3:P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96"/>
  <sheetViews>
    <sheetView zoomScale="80" zoomScaleNormal="80" workbookViewId="0"/>
  </sheetViews>
  <sheetFormatPr defaultRowHeight="15" outlineLevelRow="4" outlineLevelCol="1" x14ac:dyDescent="0.25"/>
  <cols>
    <col min="1" max="1" width="46.42578125" customWidth="1"/>
    <col min="2" max="2" width="12.7109375" style="121" customWidth="1" outlineLevel="1"/>
    <col min="3" max="3" width="10.28515625" style="121" customWidth="1" outlineLevel="1"/>
    <col min="4" max="4" width="10.85546875" style="121" customWidth="1" outlineLevel="1"/>
    <col min="5" max="5" width="13.140625" style="121" customWidth="1" outlineLevel="1"/>
    <col min="6" max="6" width="13.5703125" style="121" customWidth="1"/>
    <col min="7" max="7" width="14.85546875" style="121" customWidth="1"/>
    <col min="8" max="8" width="11.140625" style="122" customWidth="1"/>
    <col min="9" max="11" width="12.28515625" customWidth="1"/>
    <col min="12" max="12" width="13.28515625" customWidth="1"/>
    <col min="13" max="13" width="5.5703125" style="123" customWidth="1"/>
    <col min="14" max="14" width="0" hidden="1" customWidth="1"/>
    <col min="15" max="15" width="12.42578125" style="7" hidden="1" customWidth="1"/>
    <col min="16" max="16" width="12.42578125" hidden="1" customWidth="1"/>
    <col min="17" max="17" width="0" style="5" hidden="1" customWidth="1"/>
    <col min="18" max="19" width="10.5703125" bestFit="1" customWidth="1"/>
    <col min="20" max="20" width="8.7109375" style="5"/>
  </cols>
  <sheetData>
    <row r="1" spans="1:20" ht="15.75" x14ac:dyDescent="0.25">
      <c r="A1" s="248" t="str">
        <f>"Updated on " &amp; TEXT(Updates!B2,"[$-0809]dd mmm yyyy")</f>
        <v>Updated on 11 Nov 2022</v>
      </c>
      <c r="B1" s="2"/>
      <c r="C1" s="2"/>
      <c r="D1" s="2"/>
      <c r="E1" s="2"/>
      <c r="F1" s="2"/>
      <c r="G1" s="2"/>
      <c r="H1" s="3"/>
      <c r="I1" s="4"/>
      <c r="J1" s="4"/>
      <c r="K1" s="4"/>
      <c r="L1" s="5"/>
      <c r="M1" s="6"/>
      <c r="R1" s="5"/>
      <c r="S1" s="5"/>
    </row>
    <row r="2" spans="1:20" ht="45" x14ac:dyDescent="0.25">
      <c r="A2" s="8" t="s">
        <v>0</v>
      </c>
      <c r="B2" s="9"/>
      <c r="C2" s="9"/>
      <c r="D2" s="9"/>
      <c r="E2" s="9"/>
      <c r="F2" s="9"/>
      <c r="G2" s="9"/>
      <c r="H2" s="9"/>
      <c r="I2" s="9"/>
      <c r="J2" s="9"/>
      <c r="K2" s="9"/>
      <c r="L2" s="5"/>
      <c r="M2" s="6"/>
      <c r="R2" s="5"/>
      <c r="S2" s="5"/>
    </row>
    <row r="3" spans="1:20" ht="44.25" customHeight="1" x14ac:dyDescent="0.25">
      <c r="A3" s="10" t="s">
        <v>1</v>
      </c>
      <c r="B3" s="305" t="s">
        <v>2</v>
      </c>
      <c r="C3" s="306"/>
      <c r="D3" s="306"/>
      <c r="E3" s="306"/>
      <c r="F3" s="306"/>
      <c r="G3" s="307"/>
      <c r="H3" s="308" t="s">
        <v>3</v>
      </c>
      <c r="I3" s="301" t="s">
        <v>4</v>
      </c>
      <c r="J3" s="302"/>
      <c r="K3" s="11"/>
      <c r="L3" s="12"/>
      <c r="M3" s="13"/>
      <c r="O3" s="301" t="s">
        <v>5</v>
      </c>
      <c r="P3" s="302"/>
      <c r="R3" s="301" t="str">
        <f>+I3</f>
        <v>Million tonnes 
 (crude protein)</v>
      </c>
      <c r="S3" s="302"/>
    </row>
    <row r="4" spans="1:20" ht="50.25" customHeight="1" x14ac:dyDescent="0.25">
      <c r="A4" s="14" t="s">
        <v>6</v>
      </c>
      <c r="B4" s="15" t="s">
        <v>7</v>
      </c>
      <c r="C4" s="15" t="s">
        <v>8</v>
      </c>
      <c r="D4" s="16" t="s">
        <v>9</v>
      </c>
      <c r="E4" s="16" t="s">
        <v>10</v>
      </c>
      <c r="F4" s="16" t="s">
        <v>11</v>
      </c>
      <c r="G4" s="16" t="s">
        <v>12</v>
      </c>
      <c r="H4" s="309"/>
      <c r="I4" s="17" t="s">
        <v>13</v>
      </c>
      <c r="J4" s="17" t="s">
        <v>14</v>
      </c>
      <c r="K4" s="16" t="s">
        <v>15</v>
      </c>
      <c r="L4" s="15" t="s">
        <v>16</v>
      </c>
      <c r="M4" s="13"/>
      <c r="O4" s="18" t="s">
        <v>17</v>
      </c>
      <c r="P4" s="19" t="s">
        <v>17</v>
      </c>
      <c r="R4" s="18" t="s">
        <v>17</v>
      </c>
      <c r="S4" s="19" t="s">
        <v>17</v>
      </c>
    </row>
    <row r="5" spans="1:20" ht="7.5" customHeight="1" x14ac:dyDescent="0.25">
      <c r="A5" s="20"/>
      <c r="B5" s="21"/>
      <c r="C5" s="21"/>
      <c r="D5" s="21"/>
      <c r="E5" s="21"/>
      <c r="F5" s="22"/>
      <c r="G5" s="22"/>
      <c r="H5" s="23"/>
      <c r="I5" s="24"/>
      <c r="J5" s="25"/>
      <c r="K5" s="26"/>
      <c r="L5" s="26"/>
      <c r="M5" s="6"/>
    </row>
    <row r="6" spans="1:20" ht="36" customHeight="1" x14ac:dyDescent="0.25">
      <c r="A6" s="27" t="s">
        <v>18</v>
      </c>
      <c r="B6" s="28"/>
      <c r="C6" s="28"/>
      <c r="D6" s="28"/>
      <c r="E6" s="28"/>
      <c r="F6" s="29">
        <f>F9+F21+F27</f>
        <v>165.79399696289843</v>
      </c>
      <c r="G6" s="29">
        <f>G9+G21+G27</f>
        <v>147.56987016515546</v>
      </c>
      <c r="H6" s="30"/>
      <c r="I6" s="30">
        <f>I9+I21+I27</f>
        <v>16.749060922547905</v>
      </c>
      <c r="J6" s="30">
        <f>J9+J21+J27</f>
        <v>15.110503074853471</v>
      </c>
      <c r="K6" s="31">
        <f>J6/I6</f>
        <v>0.90217016612026435</v>
      </c>
      <c r="L6" s="31">
        <f>+I6/$I$89</f>
        <v>0.23287914447370922</v>
      </c>
      <c r="M6" s="6"/>
      <c r="O6" s="32">
        <f>+F6-'2019-20'!F6</f>
        <v>-1.5826678627457511</v>
      </c>
      <c r="P6" s="33">
        <f>+F6/'2019-20'!F6-1</f>
        <v>-9.4557258886380779E-3</v>
      </c>
      <c r="Q6" s="34"/>
      <c r="R6" s="32">
        <f>+I6-'2020-21'!I6</f>
        <v>-0.24037532217533553</v>
      </c>
      <c r="S6" s="33">
        <f>+I6/'2020-21'!I6-1</f>
        <v>-1.4148516684889589E-2</v>
      </c>
      <c r="T6" s="35"/>
    </row>
    <row r="7" spans="1:20" ht="7.5" customHeight="1" x14ac:dyDescent="0.25">
      <c r="A7" s="20"/>
      <c r="B7" s="21"/>
      <c r="C7" s="21"/>
      <c r="D7" s="21"/>
      <c r="E7" s="21"/>
      <c r="F7" s="22"/>
      <c r="G7" s="22"/>
      <c r="H7" s="23"/>
      <c r="I7" s="24"/>
      <c r="J7" s="25"/>
      <c r="K7" s="26"/>
      <c r="L7" s="26"/>
      <c r="M7" s="6"/>
      <c r="O7" s="36"/>
      <c r="P7" s="37"/>
      <c r="Q7" s="34"/>
      <c r="R7" s="36"/>
      <c r="S7" s="37"/>
      <c r="T7" s="35"/>
    </row>
    <row r="8" spans="1:20" ht="8.25" hidden="1" customHeight="1" x14ac:dyDescent="0.25">
      <c r="A8" s="38"/>
      <c r="B8" s="39"/>
      <c r="C8" s="39"/>
      <c r="D8" s="39"/>
      <c r="E8" s="39"/>
      <c r="F8" s="40"/>
      <c r="G8" s="40"/>
      <c r="H8" s="41"/>
      <c r="I8" s="42"/>
      <c r="J8" s="43"/>
      <c r="K8" s="44"/>
      <c r="L8" s="45"/>
      <c r="M8" s="6"/>
      <c r="O8" s="46">
        <f>+F8-'2019-20'!F8</f>
        <v>0</v>
      </c>
      <c r="P8" s="47" t="e">
        <f>+F8/'2019-20'!F8-1</f>
        <v>#DIV/0!</v>
      </c>
      <c r="Q8" s="34"/>
      <c r="R8" s="46">
        <f>+I8-'2019-20'!I8</f>
        <v>0</v>
      </c>
      <c r="S8" s="47" t="e">
        <f>+I8/'2019-20'!I8-1</f>
        <v>#DIV/0!</v>
      </c>
      <c r="T8" s="35"/>
    </row>
    <row r="9" spans="1:20" ht="22.5" customHeight="1" outlineLevel="1" x14ac:dyDescent="0.25">
      <c r="A9" s="48" t="s">
        <v>19</v>
      </c>
      <c r="B9" s="49">
        <f>SUM(B11:B19)</f>
        <v>292.15368699095205</v>
      </c>
      <c r="C9" s="49">
        <f t="shared" ref="C9:J9" si="0">SUM(C11:C19)</f>
        <v>22.294292550000002</v>
      </c>
      <c r="D9" s="49">
        <f t="shared" si="0"/>
        <v>47.886520702000006</v>
      </c>
      <c r="E9" s="49">
        <f t="shared" si="0"/>
        <v>266.56145883895215</v>
      </c>
      <c r="F9" s="49">
        <f t="shared" si="0"/>
        <v>160.9</v>
      </c>
      <c r="G9" s="49">
        <f t="shared" si="0"/>
        <v>143.10139929283173</v>
      </c>
      <c r="H9" s="50"/>
      <c r="I9" s="50">
        <f t="shared" si="0"/>
        <v>15.435999999999998</v>
      </c>
      <c r="J9" s="50">
        <f t="shared" si="0"/>
        <v>13.918717956053207</v>
      </c>
      <c r="K9" s="51">
        <f>J9/I9</f>
        <v>0.901704972535191</v>
      </c>
      <c r="L9" s="51">
        <f>+I9/$I$89</f>
        <v>0.21462232961711253</v>
      </c>
      <c r="M9" s="6"/>
      <c r="N9" s="52"/>
      <c r="O9" s="53">
        <f>+F9-'2019-20'!F9</f>
        <v>-2.1299999999999955</v>
      </c>
      <c r="P9" s="54">
        <f>+F9/'2019-20'!F9-1</f>
        <v>-1.3065080046617106E-2</v>
      </c>
      <c r="Q9" s="34"/>
      <c r="R9" s="53">
        <f>+I9-'2020-21'!I9</f>
        <v>-0.18200000000000038</v>
      </c>
      <c r="S9" s="54">
        <f>+I9/'2020-21'!I9-1</f>
        <v>-1.1653220642848017E-2</v>
      </c>
      <c r="T9" s="35"/>
    </row>
    <row r="10" spans="1:20" ht="7.5" customHeight="1" outlineLevel="1" x14ac:dyDescent="0.25">
      <c r="A10" s="20"/>
      <c r="B10" s="21"/>
      <c r="C10" s="21"/>
      <c r="D10" s="21"/>
      <c r="E10" s="21"/>
      <c r="F10" s="22"/>
      <c r="G10" s="22"/>
      <c r="H10" s="23"/>
      <c r="I10" s="24"/>
      <c r="J10" s="25"/>
      <c r="K10" s="26"/>
      <c r="L10" s="26"/>
      <c r="M10" s="6"/>
      <c r="N10" s="52"/>
      <c r="O10" s="36"/>
      <c r="P10" s="37"/>
      <c r="Q10" s="34"/>
      <c r="R10" s="36"/>
      <c r="S10" s="37"/>
      <c r="T10" s="35"/>
    </row>
    <row r="11" spans="1:20" ht="15" customHeight="1" outlineLevel="1" x14ac:dyDescent="0.25">
      <c r="A11" s="55" t="str">
        <f>+'data from cereal masterfile'!A3</f>
        <v>Common  wheat</v>
      </c>
      <c r="B11" s="56">
        <f>+'data from cereal masterfile'!L3</f>
        <v>129.071894754</v>
      </c>
      <c r="C11" s="56">
        <f>+'data from cereal masterfile'!L15</f>
        <v>2.8006985029999996</v>
      </c>
      <c r="D11" s="56">
        <f>+'data from cereal masterfile'!L27</f>
        <v>29.250537505000004</v>
      </c>
      <c r="E11" s="56">
        <f>+B11+C11-D11</f>
        <v>102.62205575199999</v>
      </c>
      <c r="F11" s="56">
        <f>+'data from cereal masterfile'!L39</f>
        <v>39.800000000000004</v>
      </c>
      <c r="G11" s="56">
        <f>IF(B11&gt;E11,F11,F11*B11/E11)-C11</f>
        <v>36.999301497000005</v>
      </c>
      <c r="H11" s="57">
        <v>0.11</v>
      </c>
      <c r="I11" s="58">
        <f>F11*H11</f>
        <v>4.3780000000000001</v>
      </c>
      <c r="J11" s="58">
        <f>G11*H11</f>
        <v>4.0699231646700005</v>
      </c>
      <c r="K11" s="26"/>
      <c r="L11" s="26"/>
      <c r="M11" s="6">
        <f>+IF(H11&lt;15%,1,IF(H11&lt;30%,2,IF(H11&lt;50%,3,4)))</f>
        <v>1</v>
      </c>
      <c r="N11" s="52"/>
      <c r="O11" s="59">
        <f>+F11-'2019-20'!F11</f>
        <v>-0.69999999999999574</v>
      </c>
      <c r="P11" s="60">
        <f>+F11/'2019-20'!F11-1</f>
        <v>-1.7283950617283828E-2</v>
      </c>
      <c r="Q11" s="34"/>
      <c r="R11" s="59">
        <f>+I11-'2020-21'!I11</f>
        <v>0.17600000000000016</v>
      </c>
      <c r="S11" s="60">
        <f>+I11/'2020-21'!I11-1</f>
        <v>4.1884816753926746E-2</v>
      </c>
      <c r="T11" s="35"/>
    </row>
    <row r="12" spans="1:20" ht="15" customHeight="1" outlineLevel="1" x14ac:dyDescent="0.25">
      <c r="A12" s="55" t="str">
        <f>+'data from cereal masterfile'!A4</f>
        <v>Barley</v>
      </c>
      <c r="B12" s="56">
        <f>+'data from cereal masterfile'!L4</f>
        <v>51.447437835000009</v>
      </c>
      <c r="C12" s="56">
        <f>+'data from cereal masterfile'!L16</f>
        <v>1.0665370929999998</v>
      </c>
      <c r="D12" s="56">
        <f>+'data from cereal masterfile'!L28</f>
        <v>10.500851466</v>
      </c>
      <c r="E12" s="56">
        <f t="shared" ref="E12:E19" si="1">+B12+C12-D12</f>
        <v>42.01312346200001</v>
      </c>
      <c r="F12" s="56">
        <f>+'data from cereal masterfile'!L40</f>
        <v>33</v>
      </c>
      <c r="G12" s="56">
        <f>IF(B12&gt;E12,F12,F12*B12/E12)</f>
        <v>33</v>
      </c>
      <c r="H12" s="57">
        <v>0.1</v>
      </c>
      <c r="I12" s="58">
        <f t="shared" ref="I12:I19" si="2">F12*H12</f>
        <v>3.3000000000000003</v>
      </c>
      <c r="J12" s="58">
        <f t="shared" ref="J12:J19" si="3">G12*H12</f>
        <v>3.3000000000000003</v>
      </c>
      <c r="K12" s="26"/>
      <c r="L12" s="26"/>
      <c r="M12" s="6">
        <f t="shared" ref="M12:M19" si="4">+IF(H12&lt;15%,1,IF(H12&lt;30%,2,IF(H12&lt;50%,3,4)))</f>
        <v>1</v>
      </c>
      <c r="N12" s="52"/>
      <c r="O12" s="59">
        <f>+F12-'2019-20'!F12</f>
        <v>-1.5</v>
      </c>
      <c r="P12" s="60">
        <f>+F12/'2019-20'!F12-1</f>
        <v>-4.3478260869565188E-2</v>
      </c>
      <c r="Q12" s="34"/>
      <c r="R12" s="59">
        <f>+I12-'2020-21'!I12</f>
        <v>-0.26000000000000023</v>
      </c>
      <c r="S12" s="60">
        <f>+I12/'2020-21'!I12-1</f>
        <v>-7.3033707865168607E-2</v>
      </c>
      <c r="T12" s="35"/>
    </row>
    <row r="13" spans="1:20" ht="15" customHeight="1" outlineLevel="1" x14ac:dyDescent="0.25">
      <c r="A13" s="55" t="str">
        <f>+'data from cereal masterfile'!A5</f>
        <v>Durum</v>
      </c>
      <c r="B13" s="56">
        <f>+'data from cereal masterfile'!L5</f>
        <v>7.7629738250000022</v>
      </c>
      <c r="C13" s="56">
        <f>+'data from cereal masterfile'!L17</f>
        <v>1.3654411220000002</v>
      </c>
      <c r="D13" s="56">
        <f>+'data from cereal masterfile'!L29</f>
        <v>1.1466080960000002</v>
      </c>
      <c r="E13" s="56">
        <f t="shared" si="1"/>
        <v>7.9818068510000026</v>
      </c>
      <c r="F13" s="56">
        <f>+'data from cereal masterfile'!L41</f>
        <v>0.5</v>
      </c>
      <c r="G13" s="56">
        <f>IF(B13&gt;E13,F13,F13*B13/E13)</f>
        <v>0.48629176137151303</v>
      </c>
      <c r="H13" s="57">
        <v>0.12</v>
      </c>
      <c r="I13" s="58">
        <f t="shared" si="2"/>
        <v>0.06</v>
      </c>
      <c r="J13" s="58">
        <f t="shared" si="3"/>
        <v>5.8355011364581565E-2</v>
      </c>
      <c r="K13" s="26"/>
      <c r="L13" s="26"/>
      <c r="M13" s="6">
        <f t="shared" si="4"/>
        <v>1</v>
      </c>
      <c r="N13" s="52"/>
      <c r="O13" s="59">
        <f>+F13-'2019-20'!F13</f>
        <v>9.9999999999999978E-2</v>
      </c>
      <c r="P13" s="60">
        <f>+F13/'2019-20'!F13-1</f>
        <v>0.25</v>
      </c>
      <c r="Q13" s="34"/>
      <c r="R13" s="59">
        <f>+I13-'2020-21'!I13</f>
        <v>1.1999999999999997E-2</v>
      </c>
      <c r="S13" s="60">
        <f>+I13/'2020-21'!I13-1</f>
        <v>0.25</v>
      </c>
      <c r="T13" s="35"/>
    </row>
    <row r="14" spans="1:20" ht="15" customHeight="1" outlineLevel="1" x14ac:dyDescent="0.25">
      <c r="A14" s="55" t="str">
        <f>+'data from cereal masterfile'!A6</f>
        <v>Maize</v>
      </c>
      <c r="B14" s="56">
        <f>+'data from cereal masterfile'!L6</f>
        <v>72.879056951999999</v>
      </c>
      <c r="C14" s="56">
        <f>+'data from cereal masterfile'!L18</f>
        <v>16.322263564</v>
      </c>
      <c r="D14" s="56">
        <f>+'data from cereal masterfile'!L30</f>
        <v>6.5616734579999987</v>
      </c>
      <c r="E14" s="56">
        <f t="shared" si="1"/>
        <v>82.639647057999994</v>
      </c>
      <c r="F14" s="56">
        <f>+'data from cereal masterfile'!L42</f>
        <v>64.599999999999994</v>
      </c>
      <c r="G14" s="56">
        <f>F14-C14*0.9</f>
        <v>49.909962792399995</v>
      </c>
      <c r="H14" s="57">
        <v>0.08</v>
      </c>
      <c r="I14" s="58">
        <f t="shared" si="2"/>
        <v>5.1679999999999993</v>
      </c>
      <c r="J14" s="58">
        <f t="shared" si="3"/>
        <v>3.9927970233919998</v>
      </c>
      <c r="K14" s="26"/>
      <c r="L14" s="26"/>
      <c r="M14" s="6">
        <f t="shared" si="4"/>
        <v>1</v>
      </c>
      <c r="N14" s="52"/>
      <c r="O14" s="59">
        <f>+F14-'2019-20'!F14</f>
        <v>-3.5</v>
      </c>
      <c r="P14" s="60">
        <f>+F14/'2019-20'!F14-1</f>
        <v>-5.1395007342143861E-2</v>
      </c>
      <c r="Q14" s="34"/>
      <c r="R14" s="59">
        <f>+I14-'2020-21'!I14</f>
        <v>8.799999999999919E-2</v>
      </c>
      <c r="S14" s="60">
        <f>+I14/'2020-21'!I14-1</f>
        <v>1.7322834645669083E-2</v>
      </c>
      <c r="T14" s="35"/>
    </row>
    <row r="15" spans="1:20" ht="15" customHeight="1" outlineLevel="1" x14ac:dyDescent="0.25">
      <c r="A15" s="55" t="str">
        <f>+'data from cereal masterfile'!A7</f>
        <v>Rye</v>
      </c>
      <c r="B15" s="56">
        <f>+'data from cereal masterfile'!L7</f>
        <v>7.7731977881265664</v>
      </c>
      <c r="C15" s="56">
        <f>+'data from cereal masterfile'!L19</f>
        <v>0.25894629600000002</v>
      </c>
      <c r="D15" s="56">
        <f>+'data from cereal masterfile'!L31</f>
        <v>0.17486462600000002</v>
      </c>
      <c r="E15" s="56">
        <f t="shared" si="1"/>
        <v>7.8572794581265661</v>
      </c>
      <c r="F15" s="56">
        <f>+'data from cereal masterfile'!L43</f>
        <v>2.6</v>
      </c>
      <c r="G15" s="56">
        <f>IF(B15&gt;E15,F15,F15*B15/(B15+C15-D15))</f>
        <v>2.5721770947355203</v>
      </c>
      <c r="H15" s="57">
        <v>0.11</v>
      </c>
      <c r="I15" s="58">
        <f t="shared" si="2"/>
        <v>0.28600000000000003</v>
      </c>
      <c r="J15" s="58">
        <f t="shared" si="3"/>
        <v>0.28293948042090722</v>
      </c>
      <c r="K15" s="26"/>
      <c r="L15" s="26"/>
      <c r="M15" s="6">
        <f t="shared" si="4"/>
        <v>1</v>
      </c>
      <c r="N15" s="52"/>
      <c r="O15" s="59">
        <f>+F15-'2019-20'!F15</f>
        <v>2.0000000000000018E-2</v>
      </c>
      <c r="P15" s="60">
        <f>+F15/'2019-20'!F15-1</f>
        <v>7.7519379844961378E-3</v>
      </c>
      <c r="Q15" s="34"/>
      <c r="R15" s="59">
        <f>+I15-'2020-21'!I15</f>
        <v>-0.13199999999999995</v>
      </c>
      <c r="S15" s="60">
        <f>+I15/'2020-21'!I15-1</f>
        <v>-0.3157894736842104</v>
      </c>
      <c r="T15" s="35"/>
    </row>
    <row r="16" spans="1:20" ht="15" customHeight="1" outlineLevel="1" x14ac:dyDescent="0.25">
      <c r="A16" s="55" t="str">
        <f>+'data from cereal masterfile'!A8</f>
        <v>Sorghum</v>
      </c>
      <c r="B16" s="56">
        <f>+'data from cereal masterfile'!L8</f>
        <v>0.77597899999999997</v>
      </c>
      <c r="C16" s="56">
        <f>+'data from cereal masterfile'!L20</f>
        <v>0.15935711399999997</v>
      </c>
      <c r="D16" s="56">
        <f>+'data from cereal masterfile'!L32</f>
        <v>1.5407889999999999E-2</v>
      </c>
      <c r="E16" s="56">
        <f t="shared" si="1"/>
        <v>0.91992822399999996</v>
      </c>
      <c r="F16" s="56">
        <f>+'data from cereal masterfile'!L44</f>
        <v>0.9</v>
      </c>
      <c r="G16" s="56">
        <f>IF(B16&gt;E16,F16,F16*B16/(B16+C16-D16))</f>
        <v>0.75916911969862555</v>
      </c>
      <c r="H16" s="57">
        <v>0.11</v>
      </c>
      <c r="I16" s="58">
        <f t="shared" si="2"/>
        <v>9.9000000000000005E-2</v>
      </c>
      <c r="J16" s="58">
        <f t="shared" si="3"/>
        <v>8.3508603166848813E-2</v>
      </c>
      <c r="K16" s="26"/>
      <c r="L16" s="26"/>
      <c r="M16" s="6">
        <f t="shared" si="4"/>
        <v>1</v>
      </c>
      <c r="N16" s="52"/>
      <c r="O16" s="59">
        <f>+F16-'2019-20'!F16</f>
        <v>0.45000000000000007</v>
      </c>
      <c r="P16" s="60">
        <f>+F16/'2019-20'!F16-1</f>
        <v>1.0000000000000004</v>
      </c>
      <c r="Q16" s="34"/>
      <c r="R16" s="59">
        <f>+I16-'2020-21'!I16</f>
        <v>-5.4999999999999993E-2</v>
      </c>
      <c r="S16" s="60">
        <f>+I16/'2020-21'!I16-1</f>
        <v>-0.3571428571428571</v>
      </c>
      <c r="T16" s="35"/>
    </row>
    <row r="17" spans="1:27" ht="15" customHeight="1" outlineLevel="1" x14ac:dyDescent="0.25">
      <c r="A17" s="55" t="str">
        <f>+'data from cereal masterfile'!A9</f>
        <v>Oats</v>
      </c>
      <c r="B17" s="56">
        <f>+'data from cereal masterfile'!L9</f>
        <v>7.39333873</v>
      </c>
      <c r="C17" s="56">
        <f>+'data from cereal masterfile'!L21</f>
        <v>0.15502175199999998</v>
      </c>
      <c r="D17" s="56">
        <f>+'data from cereal masterfile'!L33</f>
        <v>0.21308602000000001</v>
      </c>
      <c r="E17" s="56">
        <f t="shared" si="1"/>
        <v>7.3352744619999992</v>
      </c>
      <c r="F17" s="56">
        <f>+'data from cereal masterfile'!L45</f>
        <v>5.7</v>
      </c>
      <c r="G17" s="56">
        <f>IF(B17&gt;E17,F17,F17*B17/(B17+C17-D17))</f>
        <v>5.7</v>
      </c>
      <c r="H17" s="57">
        <v>0.11</v>
      </c>
      <c r="I17" s="58">
        <f t="shared" si="2"/>
        <v>0.627</v>
      </c>
      <c r="J17" s="58">
        <f t="shared" si="3"/>
        <v>0.627</v>
      </c>
      <c r="K17" s="26"/>
      <c r="L17" s="26"/>
      <c r="M17" s="6">
        <f t="shared" si="4"/>
        <v>1</v>
      </c>
      <c r="N17" s="52"/>
      <c r="O17" s="59">
        <f>+F17-'2019-20'!F17</f>
        <v>0.60000000000000053</v>
      </c>
      <c r="P17" s="60">
        <f>+F17/'2019-20'!F17-1</f>
        <v>0.11764705882352944</v>
      </c>
      <c r="Q17" s="34"/>
      <c r="R17" s="59">
        <f>+I17-'2020-21'!I17</f>
        <v>-1.100000000000001E-2</v>
      </c>
      <c r="S17" s="60">
        <f>+I17/'2020-21'!I17-1</f>
        <v>-1.7241379310344862E-2</v>
      </c>
      <c r="T17" s="35"/>
    </row>
    <row r="18" spans="1:27" ht="15" customHeight="1" outlineLevel="1" x14ac:dyDescent="0.25">
      <c r="A18" s="55" t="str">
        <f>+'data from cereal masterfile'!A10</f>
        <v>Triticale</v>
      </c>
      <c r="B18" s="56">
        <f>+'data from cereal masterfile'!L10</f>
        <v>11.437952399999993</v>
      </c>
      <c r="C18" s="56">
        <f>+'data from cereal masterfile'!L22</f>
        <v>3.0558329999999996E-3</v>
      </c>
      <c r="D18" s="56">
        <f>+'data from cereal masterfile'!L34</f>
        <v>3.3142100000000002E-3</v>
      </c>
      <c r="E18" s="56">
        <f t="shared" si="1"/>
        <v>11.437694022999993</v>
      </c>
      <c r="F18" s="56">
        <f>+'data from cereal masterfile'!L46</f>
        <v>10.5</v>
      </c>
      <c r="G18" s="56">
        <f>IF(B18&gt;E18,F18,F18*B18/(B18+C18-D18))</f>
        <v>10.5</v>
      </c>
      <c r="H18" s="57">
        <v>0.11</v>
      </c>
      <c r="I18" s="58">
        <f t="shared" si="2"/>
        <v>1.155</v>
      </c>
      <c r="J18" s="58">
        <f t="shared" si="3"/>
        <v>1.155</v>
      </c>
      <c r="K18" s="26"/>
      <c r="L18" s="26"/>
      <c r="M18" s="6">
        <f t="shared" si="4"/>
        <v>1</v>
      </c>
      <c r="N18" s="52"/>
      <c r="O18" s="59">
        <f>+F18-'2019-20'!F18</f>
        <v>2.4000000000000004</v>
      </c>
      <c r="P18" s="60">
        <f>+F18/'2019-20'!F18-1</f>
        <v>0.29629629629629628</v>
      </c>
      <c r="Q18" s="34"/>
      <c r="R18" s="59">
        <f>+I18-'2020-21'!I18</f>
        <v>-2.1999999999999797E-2</v>
      </c>
      <c r="S18" s="60">
        <f>+I18/'2020-21'!I18-1</f>
        <v>-1.8691588785046509E-2</v>
      </c>
      <c r="T18" s="35"/>
    </row>
    <row r="19" spans="1:27" ht="15" customHeight="1" outlineLevel="1" x14ac:dyDescent="0.25">
      <c r="A19" s="55" t="str">
        <f>+'data from cereal masterfile'!A11</f>
        <v>Others</v>
      </c>
      <c r="B19" s="56">
        <f>+'data from cereal masterfile'!L11</f>
        <v>3.6118557068255455</v>
      </c>
      <c r="C19" s="56">
        <f>+'data from cereal masterfile'!L23</f>
        <v>0.16297127299999994</v>
      </c>
      <c r="D19" s="56">
        <f>+'data from cereal masterfile'!L35</f>
        <v>2.0177430999999999E-2</v>
      </c>
      <c r="E19" s="56">
        <f t="shared" si="1"/>
        <v>3.7546495488255456</v>
      </c>
      <c r="F19" s="56">
        <f>+'data from cereal masterfile'!L47</f>
        <v>3.3</v>
      </c>
      <c r="G19" s="56">
        <f>IF(B19&gt;E19,F19,F19*B19/(B19+C19-D19))</f>
        <v>3.1744970276260807</v>
      </c>
      <c r="H19" s="57">
        <v>0.11</v>
      </c>
      <c r="I19" s="58">
        <f t="shared" si="2"/>
        <v>0.36299999999999999</v>
      </c>
      <c r="J19" s="58">
        <f t="shared" si="3"/>
        <v>0.34919467303886886</v>
      </c>
      <c r="K19" s="26"/>
      <c r="L19" s="26"/>
      <c r="M19" s="6">
        <f t="shared" si="4"/>
        <v>1</v>
      </c>
      <c r="N19" s="52"/>
      <c r="O19" s="59">
        <f>+F19-'2019-20'!F19</f>
        <v>0</v>
      </c>
      <c r="P19" s="60">
        <f>+F19/'2019-20'!F19-1</f>
        <v>0</v>
      </c>
      <c r="Q19" s="34"/>
      <c r="R19" s="59">
        <f>+I19-'2020-21'!I19</f>
        <v>2.1999999999999964E-2</v>
      </c>
      <c r="S19" s="60">
        <f>+I19/'2020-21'!I19-1</f>
        <v>6.4516129032258007E-2</v>
      </c>
      <c r="T19" s="35"/>
    </row>
    <row r="20" spans="1:27" ht="12.75" customHeight="1" outlineLevel="1" x14ac:dyDescent="0.25">
      <c r="A20" s="20"/>
      <c r="B20" s="21"/>
      <c r="C20" s="21"/>
      <c r="D20" s="21"/>
      <c r="E20" s="21"/>
      <c r="F20" s="22"/>
      <c r="G20" s="22"/>
      <c r="H20" s="23"/>
      <c r="I20" s="24"/>
      <c r="J20" s="25"/>
      <c r="K20" s="26"/>
      <c r="L20" s="26"/>
      <c r="M20" s="6"/>
      <c r="N20" s="52"/>
      <c r="O20" s="36"/>
      <c r="P20" s="37"/>
      <c r="Q20" s="34"/>
      <c r="R20" s="36"/>
      <c r="S20" s="37"/>
      <c r="T20" s="35"/>
    </row>
    <row r="21" spans="1:27" ht="22.5" customHeight="1" outlineLevel="1" x14ac:dyDescent="0.25">
      <c r="A21" s="48" t="s">
        <v>20</v>
      </c>
      <c r="B21" s="49">
        <f t="shared" ref="B21:G21" si="5">SUM(B23:B25)</f>
        <v>30.051360000000003</v>
      </c>
      <c r="C21" s="49">
        <f t="shared" si="5"/>
        <v>21.428280718000003</v>
      </c>
      <c r="D21" s="49">
        <f t="shared" si="5"/>
        <v>1.0972804759999999</v>
      </c>
      <c r="E21" s="49">
        <f t="shared" si="5"/>
        <v>50.382360242000004</v>
      </c>
      <c r="F21" s="49">
        <f t="shared" si="5"/>
        <v>1.5775166</v>
      </c>
      <c r="G21" s="49">
        <f t="shared" si="5"/>
        <v>1.5775166</v>
      </c>
      <c r="H21" s="50"/>
      <c r="I21" s="50">
        <f>SUM(I23:I25)</f>
        <v>0.45871040504000005</v>
      </c>
      <c r="J21" s="50">
        <f>SUM(J23:J25)</f>
        <v>0.45871040504000005</v>
      </c>
      <c r="K21" s="51">
        <f>J21/I21</f>
        <v>1</v>
      </c>
      <c r="L21" s="51">
        <f>+I21/$I$89</f>
        <v>6.3779149876453806E-3</v>
      </c>
      <c r="M21" s="6"/>
      <c r="N21" s="52"/>
      <c r="O21" s="53">
        <f>+F21-'2019-20'!F21</f>
        <v>1.8837400000000004E-2</v>
      </c>
      <c r="P21" s="54">
        <f>+F21/'2019-20'!F21-1</f>
        <v>1.2085488790765986E-2</v>
      </c>
      <c r="Q21" s="34"/>
      <c r="R21" s="53">
        <f>+I21-'2020-21'!I21</f>
        <v>4.668861560000015E-3</v>
      </c>
      <c r="S21" s="54">
        <f>+I21/'2020-21'!I21-1</f>
        <v>1.0282895094170241E-2</v>
      </c>
      <c r="T21" s="35"/>
    </row>
    <row r="22" spans="1:27" ht="14.25" customHeight="1" outlineLevel="1" x14ac:dyDescent="0.25">
      <c r="A22" s="20" t="s">
        <v>21</v>
      </c>
      <c r="B22" s="21"/>
      <c r="C22" s="21"/>
      <c r="D22" s="21"/>
      <c r="E22" s="21"/>
      <c r="F22" s="22"/>
      <c r="G22" s="22"/>
      <c r="H22" s="23"/>
      <c r="I22" s="24"/>
      <c r="J22" s="25"/>
      <c r="K22" s="26"/>
      <c r="L22" s="26"/>
      <c r="M22" s="6"/>
      <c r="N22" s="52"/>
      <c r="O22" s="36"/>
      <c r="P22" s="37"/>
      <c r="Q22" s="34"/>
      <c r="R22" s="36"/>
      <c r="S22" s="37"/>
      <c r="T22" s="35"/>
    </row>
    <row r="23" spans="1:27" ht="15" customHeight="1" outlineLevel="1" x14ac:dyDescent="0.25">
      <c r="A23" s="55" t="s">
        <v>22</v>
      </c>
      <c r="B23" s="56">
        <f>+'data from oilseed masterfile'!Z4</f>
        <v>2.64941</v>
      </c>
      <c r="C23" s="56">
        <f>+'data from oilseed masterfile'!Z12</f>
        <v>14.70858106</v>
      </c>
      <c r="D23" s="56">
        <f>+'data from oilseed masterfile'!Z16</f>
        <v>0.27005563400000004</v>
      </c>
      <c r="E23" s="56">
        <f>+B23+C23-D23</f>
        <v>17.087935426000001</v>
      </c>
      <c r="F23" s="56">
        <v>1.2</v>
      </c>
      <c r="G23" s="56">
        <f>F23</f>
        <v>1.2</v>
      </c>
      <c r="H23" s="61">
        <v>0.33</v>
      </c>
      <c r="I23" s="58">
        <f>F23*H23</f>
        <v>0.39600000000000002</v>
      </c>
      <c r="J23" s="58">
        <f>G23*H23</f>
        <v>0.39600000000000002</v>
      </c>
      <c r="K23" s="26"/>
      <c r="L23" s="26"/>
      <c r="M23" s="6">
        <f>+IF(H23&lt;15%,1,IF(H23&lt;30%,2,IF(H23&lt;50%,3,4)))</f>
        <v>3</v>
      </c>
      <c r="N23" s="52"/>
      <c r="O23" s="59">
        <f>+F23-'2019-20'!F23</f>
        <v>0</v>
      </c>
      <c r="P23" s="60">
        <f>+F23/'2019-20'!F23-1</f>
        <v>0</v>
      </c>
      <c r="Q23" s="34"/>
      <c r="R23" s="59">
        <f>+I23-'2020-21'!I23</f>
        <v>0</v>
      </c>
      <c r="S23" s="60">
        <f>+I23/'2020-21'!I23-1</f>
        <v>0</v>
      </c>
      <c r="T23" s="35"/>
    </row>
    <row r="24" spans="1:27" ht="15" customHeight="1" outlineLevel="1" x14ac:dyDescent="0.25">
      <c r="A24" s="55" t="s">
        <v>23</v>
      </c>
      <c r="B24" s="56">
        <f>+'data from oilseed masterfile'!Z5</f>
        <v>17.052240000000001</v>
      </c>
      <c r="C24" s="56">
        <f>+'data from oilseed masterfile'!Z13</f>
        <v>5.5701539910000006</v>
      </c>
      <c r="D24" s="56">
        <f>+'data from oilseed masterfile'!Z17</f>
        <v>0.42465610799999998</v>
      </c>
      <c r="E24" s="56">
        <f>+B24+C24-D24</f>
        <v>22.197737883000002</v>
      </c>
      <c r="F24" s="56">
        <f>+B24*1%</f>
        <v>0.17052240000000002</v>
      </c>
      <c r="G24" s="56">
        <f>F24</f>
        <v>0.17052240000000002</v>
      </c>
      <c r="H24" s="62">
        <f>H47*0.57</f>
        <v>0.18809999999999999</v>
      </c>
      <c r="I24" s="58">
        <f>F24*H24</f>
        <v>3.2075263440000001E-2</v>
      </c>
      <c r="J24" s="58">
        <f>G24*H24</f>
        <v>3.2075263440000001E-2</v>
      </c>
      <c r="K24" s="26"/>
      <c r="L24" s="26"/>
      <c r="M24" s="6">
        <f>+IF(H24&lt;15%,1,IF(H24&lt;30%,2,IF(H24&lt;50%,3,4)))</f>
        <v>2</v>
      </c>
      <c r="N24" s="52"/>
      <c r="O24" s="59">
        <f>+F24-'2019-20'!F24</f>
        <v>1.6726400000000002E-2</v>
      </c>
      <c r="P24" s="60">
        <f>+F24/'2019-20'!F24-1</f>
        <v>0.10875705479986486</v>
      </c>
      <c r="Q24" s="34"/>
      <c r="R24" s="59">
        <f>+I24-'2020-21'!I24</f>
        <v>6.740751600000025E-4</v>
      </c>
      <c r="S24" s="60">
        <f>+I24/'2020-21'!I24-1</f>
        <v>2.1466549418110104E-2</v>
      </c>
      <c r="T24" s="35"/>
    </row>
    <row r="25" spans="1:27" ht="15" customHeight="1" outlineLevel="1" x14ac:dyDescent="0.25">
      <c r="A25" s="55" t="s">
        <v>24</v>
      </c>
      <c r="B25" s="56">
        <f>+'data from oilseed masterfile'!Z6</f>
        <v>10.34971</v>
      </c>
      <c r="C25" s="56">
        <f>+'data from oilseed masterfile'!Z14</f>
        <v>1.1495456669999999</v>
      </c>
      <c r="D25" s="56">
        <f>+'data from oilseed masterfile'!Z18</f>
        <v>0.40256873399999998</v>
      </c>
      <c r="E25" s="56">
        <f>+B25+C25-D25</f>
        <v>11.096686932999999</v>
      </c>
      <c r="F25" s="56">
        <f>+B25*2%</f>
        <v>0.20699420000000002</v>
      </c>
      <c r="G25" s="56">
        <f>F25</f>
        <v>0.20699420000000002</v>
      </c>
      <c r="H25" s="57">
        <v>0.14799999999999999</v>
      </c>
      <c r="I25" s="58">
        <f>F25*H25</f>
        <v>3.0635141600000002E-2</v>
      </c>
      <c r="J25" s="58">
        <f>G25*H25</f>
        <v>3.0635141600000002E-2</v>
      </c>
      <c r="K25" s="26"/>
      <c r="L25" s="26"/>
      <c r="M25" s="6">
        <f>+IF(H25&lt;15%,1,IF(H25&lt;30%,2,IF(H25&lt;50%,3,4)))</f>
        <v>1</v>
      </c>
      <c r="N25" s="52"/>
      <c r="O25" s="59">
        <f>+F25-'2019-20'!F25</f>
        <v>2.1110000000000295E-3</v>
      </c>
      <c r="P25" s="60">
        <f>+F25/'2019-20'!F25-1</f>
        <v>1.0303431418486442E-2</v>
      </c>
      <c r="Q25" s="34"/>
      <c r="R25" s="59">
        <f>+I25-'2020-21'!I25</f>
        <v>3.994786400000002E-3</v>
      </c>
      <c r="S25" s="60">
        <f>+I25/'2020-21'!I25-1</f>
        <v>0.14995244507851013</v>
      </c>
      <c r="T25" s="35"/>
    </row>
    <row r="26" spans="1:27" ht="12.75" customHeight="1" outlineLevel="1" x14ac:dyDescent="0.25">
      <c r="A26" s="20"/>
      <c r="B26" s="21"/>
      <c r="C26" s="21"/>
      <c r="D26" s="21"/>
      <c r="E26" s="21"/>
      <c r="F26" s="22"/>
      <c r="G26" s="22"/>
      <c r="H26" s="23"/>
      <c r="I26" s="24"/>
      <c r="J26" s="25"/>
      <c r="K26" s="26"/>
      <c r="L26" s="26"/>
      <c r="M26" s="6"/>
      <c r="N26" s="52"/>
      <c r="O26" s="36"/>
      <c r="P26" s="37"/>
      <c r="Q26" s="34"/>
      <c r="R26" s="36"/>
      <c r="S26" s="37"/>
      <c r="T26" s="35"/>
    </row>
    <row r="27" spans="1:27" ht="20.25" customHeight="1" outlineLevel="1" x14ac:dyDescent="0.25">
      <c r="A27" s="48" t="s">
        <v>25</v>
      </c>
      <c r="B27" s="49">
        <f>SUM(B29:B32)</f>
        <v>3.9513027189542482</v>
      </c>
      <c r="C27" s="49">
        <f t="shared" ref="C27:G27" si="6">SUM(C29:C32)</f>
        <v>1.3066971279999999</v>
      </c>
      <c r="D27" s="49">
        <f t="shared" si="6"/>
        <v>0.48945230000000001</v>
      </c>
      <c r="E27" s="49">
        <f t="shared" si="6"/>
        <v>4.7685475469542489</v>
      </c>
      <c r="F27" s="49">
        <f t="shared" si="6"/>
        <v>3.3164803628984232</v>
      </c>
      <c r="G27" s="49">
        <f t="shared" si="6"/>
        <v>2.890954272323734</v>
      </c>
      <c r="H27" s="50"/>
      <c r="I27" s="50">
        <f>SUM(I29:I32)</f>
        <v>0.8543505175079058</v>
      </c>
      <c r="J27" s="50">
        <f>SUM(J29:J32)</f>
        <v>0.73307471376026323</v>
      </c>
      <c r="K27" s="51">
        <f>J27/I27</f>
        <v>0.85804912472997907</v>
      </c>
      <c r="L27" s="51">
        <f>+I27/$I$89</f>
        <v>1.1878899868951312E-2</v>
      </c>
      <c r="M27" s="6"/>
      <c r="N27" s="52"/>
      <c r="O27" s="53">
        <f>+F27-'2019-20'!F27</f>
        <v>0.52849473725424811</v>
      </c>
      <c r="P27" s="54">
        <f>+F27/'2019-20'!F27-1</f>
        <v>0.18956150002822825</v>
      </c>
      <c r="Q27" s="34"/>
      <c r="R27" s="53">
        <f>+I27-'2020-21'!I27</f>
        <v>-6.3044183735337933E-2</v>
      </c>
      <c r="S27" s="54">
        <f>+I27/'2020-21'!I27-1</f>
        <v>-6.8720893689380502E-2</v>
      </c>
      <c r="T27" s="35"/>
    </row>
    <row r="28" spans="1:27" ht="7.5" customHeight="1" outlineLevel="1" x14ac:dyDescent="0.25">
      <c r="A28" s="20"/>
      <c r="B28" s="21"/>
      <c r="C28" s="21"/>
      <c r="D28" s="21"/>
      <c r="E28" s="21"/>
      <c r="F28" s="22"/>
      <c r="G28" s="22"/>
      <c r="H28" s="23"/>
      <c r="I28" s="24"/>
      <c r="J28" s="25"/>
      <c r="K28" s="26"/>
      <c r="L28" s="26"/>
      <c r="M28" s="6"/>
      <c r="N28" s="52"/>
      <c r="O28" s="36"/>
      <c r="P28" s="37"/>
      <c r="Q28" s="34"/>
      <c r="R28" s="36"/>
      <c r="S28" s="37"/>
      <c r="T28" s="35"/>
    </row>
    <row r="29" spans="1:27" ht="15" customHeight="1" outlineLevel="1" x14ac:dyDescent="0.25">
      <c r="A29" s="55" t="s">
        <v>26</v>
      </c>
      <c r="B29" s="56">
        <f>'data from protein balance sheet'!L4</f>
        <v>1.8263699999999998</v>
      </c>
      <c r="C29" s="56">
        <f>'data from protein balance sheet'!L20</f>
        <v>0.55194467699999994</v>
      </c>
      <c r="D29" s="56">
        <f>'data from protein balance sheet'!L28</f>
        <v>0.21494411600000005</v>
      </c>
      <c r="E29" s="56">
        <f>'data from protein balance sheet'!L12</f>
        <v>2.1633705609999998</v>
      </c>
      <c r="F29" s="56">
        <f>'data from protein balance sheet'!L36</f>
        <v>1.4204181092999999</v>
      </c>
      <c r="G29" s="56">
        <f>IF(B29&gt;E29,F29,F29*B29/E29)</f>
        <v>1.1991514856720105</v>
      </c>
      <c r="H29" s="63">
        <v>0.22500000000000001</v>
      </c>
      <c r="I29" s="58">
        <f>F29*H29</f>
        <v>0.3195940745925</v>
      </c>
      <c r="J29" s="58">
        <f>G29*H29</f>
        <v>0.26980908427620237</v>
      </c>
      <c r="K29" s="26"/>
      <c r="L29" s="26"/>
      <c r="M29" s="6">
        <f>+IF(H29&lt;15%,1,IF(H29&lt;30%,2,IF(H29&lt;50%,3,4)))</f>
        <v>2</v>
      </c>
      <c r="N29" s="52"/>
      <c r="O29" s="59">
        <f>+F29-'2019-20'!F29</f>
        <v>2.533932059999966E-2</v>
      </c>
      <c r="P29" s="60">
        <f>+F29/'2019-20'!F29-1</f>
        <v>1.8163361671932554E-2</v>
      </c>
      <c r="Q29" s="34"/>
      <c r="R29" s="59">
        <f>+I29-'2020-21'!I29</f>
        <v>-6.9655925407499986E-2</v>
      </c>
      <c r="S29" s="60">
        <f>+I29/'2020-21'!I29-1</f>
        <v>-0.17894906976878611</v>
      </c>
      <c r="T29" s="35"/>
    </row>
    <row r="30" spans="1:27" ht="15" customHeight="1" outlineLevel="1" x14ac:dyDescent="0.25">
      <c r="A30" s="55" t="s">
        <v>27</v>
      </c>
      <c r="B30" s="56">
        <f>'data from protein balance sheet'!L5</f>
        <v>1.1206799999999999</v>
      </c>
      <c r="C30" s="56">
        <f>'data from protein balance sheet'!L21</f>
        <v>0.14422502300000001</v>
      </c>
      <c r="D30" s="56">
        <f>'data from protein balance sheet'!L29</f>
        <v>0.24295129099999996</v>
      </c>
      <c r="E30" s="56">
        <f>'data from protein balance sheet'!L13</f>
        <v>1.0219537319999998</v>
      </c>
      <c r="F30" s="56">
        <f>'data from protein balance sheet'!L37</f>
        <v>0.83483731517999993</v>
      </c>
      <c r="G30" s="56">
        <f>IF(B30&gt;E30,F30,F30*B30/E30)</f>
        <v>0.83483731517999993</v>
      </c>
      <c r="H30" s="63">
        <v>0.26</v>
      </c>
      <c r="I30" s="58">
        <f>F30*H30</f>
        <v>0.21705770194679999</v>
      </c>
      <c r="J30" s="58">
        <f>G30*H30</f>
        <v>0.21705770194679999</v>
      </c>
      <c r="K30" s="26"/>
      <c r="L30" s="26"/>
      <c r="M30" s="6">
        <f>+IF(H30&lt;15%,1,IF(H30&lt;30%,2,IF(H30&lt;50%,3,4)))</f>
        <v>2</v>
      </c>
      <c r="N30" s="52"/>
      <c r="O30" s="59">
        <f>+F30-'2019-20'!F30</f>
        <v>7.8206366040000086E-2</v>
      </c>
      <c r="P30" s="60">
        <f>+F30/'2019-20'!F30-1</f>
        <v>0.10336130993437531</v>
      </c>
      <c r="Q30" s="34"/>
      <c r="R30" s="59">
        <f>+I30-'2020-21'!I30</f>
        <v>-1.2557620904400019E-2</v>
      </c>
      <c r="S30" s="60">
        <f>+I30/'2020-21'!I30-1</f>
        <v>-5.4689820994820337E-2</v>
      </c>
      <c r="T30" s="35"/>
    </row>
    <row r="31" spans="1:27" ht="15" customHeight="1" outlineLevel="1" x14ac:dyDescent="0.25">
      <c r="A31" s="55" t="s">
        <v>28</v>
      </c>
      <c r="B31" s="56">
        <f>'data from protein balance sheet'!L7</f>
        <v>0.32272999999999996</v>
      </c>
      <c r="C31" s="56">
        <f>'data from protein balance sheet'!L23</f>
        <v>0.20648723599999999</v>
      </c>
      <c r="D31" s="56">
        <f>'data from protein balance sheet'!L31</f>
        <v>2.6968100000000002E-4</v>
      </c>
      <c r="E31" s="56">
        <f>'data from protein balance sheet'!L15</f>
        <v>0.52894755500000001</v>
      </c>
      <c r="F31" s="56">
        <f>'data from protein balance sheet'!L39</f>
        <v>0.52392506363999991</v>
      </c>
      <c r="G31" s="56">
        <f>IF(B31&gt;E31,F31,F31*B31/E31)</f>
        <v>0.31966559669330008</v>
      </c>
      <c r="H31" s="61">
        <v>0.35</v>
      </c>
      <c r="I31" s="58">
        <f>F31*H31</f>
        <v>0.18337377227399995</v>
      </c>
      <c r="J31" s="58">
        <f>G31*H31</f>
        <v>0.11188295884265502</v>
      </c>
      <c r="K31" s="26"/>
      <c r="L31" s="26"/>
      <c r="M31" s="6">
        <f>+IF(H31&lt;15%,1,IF(H31&lt;30%,2,IF(H31&lt;50%,3,4)))</f>
        <v>3</v>
      </c>
      <c r="N31" s="52"/>
      <c r="O31" s="59">
        <f>+F31-'2019-20'!F31</f>
        <v>0.14425441865999994</v>
      </c>
      <c r="P31" s="60">
        <f>+F31/'2019-20'!F31-1</f>
        <v>0.37994619960044274</v>
      </c>
      <c r="Q31" s="34"/>
      <c r="R31" s="59">
        <f>+I31-'2020-21'!I31</f>
        <v>-3.1911541199999838E-4</v>
      </c>
      <c r="S31" s="60">
        <f>+I31/'2020-21'!I31-1</f>
        <v>-1.7372224696335925E-3</v>
      </c>
      <c r="T31" s="64"/>
      <c r="U31" s="52"/>
      <c r="V31" s="52"/>
      <c r="W31" s="52"/>
      <c r="X31" s="52"/>
      <c r="Y31" s="52"/>
      <c r="Z31" s="52"/>
      <c r="AA31" s="52"/>
    </row>
    <row r="32" spans="1:27" ht="15" customHeight="1" outlineLevel="1" x14ac:dyDescent="0.25">
      <c r="A32" s="55" t="s">
        <v>29</v>
      </c>
      <c r="B32" s="56">
        <f>'data from protein balance sheet'!L9</f>
        <v>0.68152271895424843</v>
      </c>
      <c r="C32" s="56">
        <f>'data from protein balance sheet'!L25</f>
        <v>0.40404019199999991</v>
      </c>
      <c r="D32" s="56">
        <f>'data from protein balance sheet'!L33</f>
        <v>3.1287212000000002E-2</v>
      </c>
      <c r="E32" s="56">
        <f>'data from protein balance sheet'!L17</f>
        <v>1.0542756989542483</v>
      </c>
      <c r="F32" s="56">
        <f>'data from protein balance sheet'!L41</f>
        <v>0.53729987477842334</v>
      </c>
      <c r="G32" s="56">
        <f>+(MIN(F32,B32-D32))</f>
        <v>0.53729987477842334</v>
      </c>
      <c r="H32" s="63">
        <v>0.25</v>
      </c>
      <c r="I32" s="58">
        <f>F32*H32</f>
        <v>0.13432496869460583</v>
      </c>
      <c r="J32" s="58">
        <f>G32*H32</f>
        <v>0.13432496869460583</v>
      </c>
      <c r="K32" s="26"/>
      <c r="L32" s="26"/>
      <c r="M32" s="6"/>
      <c r="N32" s="52"/>
      <c r="O32" s="59">
        <f>+F32-'2019-20'!F32</f>
        <v>0.28069463195424826</v>
      </c>
      <c r="P32" s="60">
        <f>+F32/'2019-20'!F32-1</f>
        <v>1.0938772289488221</v>
      </c>
      <c r="Q32" s="34"/>
      <c r="R32" s="59">
        <f>+I32-'2020-21'!I32</f>
        <v>1.9488477988562042E-2</v>
      </c>
      <c r="S32" s="60">
        <f>+I32/'2020-21'!I32-1</f>
        <v>0.16970631781537349</v>
      </c>
      <c r="T32" s="64"/>
      <c r="U32" s="52"/>
      <c r="V32" s="52"/>
      <c r="W32" s="52"/>
      <c r="X32" s="52"/>
      <c r="Y32" s="52"/>
      <c r="Z32" s="52"/>
      <c r="AA32" s="52"/>
    </row>
    <row r="33" spans="1:27" ht="12.75" customHeight="1" outlineLevel="1" x14ac:dyDescent="0.25">
      <c r="A33" s="20"/>
      <c r="B33" s="21"/>
      <c r="C33" s="21"/>
      <c r="D33" s="21"/>
      <c r="E33" s="21"/>
      <c r="F33" s="22"/>
      <c r="G33" s="22"/>
      <c r="H33" s="23"/>
      <c r="I33" s="24"/>
      <c r="J33" s="25"/>
      <c r="K33" s="26"/>
      <c r="L33" s="26"/>
      <c r="M33" s="6"/>
      <c r="N33" s="52"/>
      <c r="O33" s="36"/>
      <c r="P33" s="37"/>
      <c r="Q33" s="34"/>
      <c r="R33" s="59"/>
      <c r="S33" s="37"/>
      <c r="T33" s="35"/>
      <c r="U33" s="52"/>
      <c r="V33" s="52"/>
      <c r="W33" s="52"/>
      <c r="X33" s="52"/>
      <c r="Y33" s="52"/>
      <c r="Z33" s="52"/>
      <c r="AA33" s="52"/>
    </row>
    <row r="34" spans="1:27" ht="36" customHeight="1" x14ac:dyDescent="0.25">
      <c r="A34" s="27" t="s">
        <v>30</v>
      </c>
      <c r="B34" s="28"/>
      <c r="C34" s="28"/>
      <c r="D34" s="28"/>
      <c r="E34" s="28"/>
      <c r="F34" s="29">
        <f>+F36+F63</f>
        <v>77.450893781270608</v>
      </c>
      <c r="G34" s="29">
        <f>+G36+G63</f>
        <v>41.060708534396298</v>
      </c>
      <c r="H34" s="30"/>
      <c r="I34" s="30">
        <f>+I36+I63</f>
        <v>23.647824064777097</v>
      </c>
      <c r="J34" s="30">
        <f>+J36+J63</f>
        <v>8.8097313876792764</v>
      </c>
      <c r="K34" s="31">
        <f>IF(I34=0,0,J34/I34)</f>
        <v>0.37253877411922959</v>
      </c>
      <c r="L34" s="31">
        <f>+I34/$I$89</f>
        <v>0.32879963016053876</v>
      </c>
      <c r="M34" s="6"/>
      <c r="N34" s="52"/>
      <c r="O34" s="32">
        <f>+F34-'2019-20'!F34</f>
        <v>-0.71896546376679282</v>
      </c>
      <c r="P34" s="33">
        <f>+F34/'2019-20'!F34-1</f>
        <v>-9.1974767603593133E-3</v>
      </c>
      <c r="Q34" s="34"/>
      <c r="R34" s="32">
        <f>+I34-'2020-21'!I34</f>
        <v>0.21620812248931998</v>
      </c>
      <c r="S34" s="33">
        <f>+I34/'2020-21'!I34-1</f>
        <v>9.2271964094086112E-3</v>
      </c>
      <c r="T34" s="35"/>
    </row>
    <row r="35" spans="1:27" ht="7.5" customHeight="1" x14ac:dyDescent="0.25">
      <c r="A35" s="20"/>
      <c r="B35" s="21"/>
      <c r="C35" s="21"/>
      <c r="D35" s="21"/>
      <c r="E35" s="21"/>
      <c r="F35" s="22"/>
      <c r="G35" s="22"/>
      <c r="H35" s="23"/>
      <c r="I35" s="24"/>
      <c r="J35" s="25"/>
      <c r="K35" s="26"/>
      <c r="L35" s="26"/>
      <c r="M35" s="6"/>
      <c r="N35" s="52"/>
      <c r="O35" s="36"/>
      <c r="P35" s="37"/>
      <c r="Q35" s="34"/>
      <c r="R35" s="36"/>
      <c r="S35" s="37"/>
      <c r="T35" s="35"/>
    </row>
    <row r="36" spans="1:27" ht="19.5" customHeight="1" x14ac:dyDescent="0.25">
      <c r="A36" s="48" t="s">
        <v>31</v>
      </c>
      <c r="B36" s="49">
        <f t="shared" ref="B36:E36" si="7">+B38+B45+B51+B57</f>
        <v>29.427469446065331</v>
      </c>
      <c r="C36" s="49">
        <f t="shared" si="7"/>
        <v>21.141617801000006</v>
      </c>
      <c r="D36" s="49">
        <f t="shared" si="7"/>
        <v>2.4951375329999994</v>
      </c>
      <c r="E36" s="49">
        <f t="shared" si="7"/>
        <v>48.073949714065336</v>
      </c>
      <c r="F36" s="49">
        <f>+F38+F45+F51+F57</f>
        <v>47.871699566669179</v>
      </c>
      <c r="G36" s="49">
        <f>+G38+G45+G51+G57</f>
        <v>13.413783518794862</v>
      </c>
      <c r="H36" s="50"/>
      <c r="I36" s="50">
        <f>+I38+I45+I51+I57</f>
        <v>19.207102931439557</v>
      </c>
      <c r="J36" s="50">
        <f>+J38+J45+J51+J57</f>
        <v>4.6579810858877382</v>
      </c>
      <c r="K36" s="51">
        <f>IF(I36=0,0,J36/I36)</f>
        <v>0.24251346507146698</v>
      </c>
      <c r="L36" s="51">
        <f>+I36/$I$89</f>
        <v>0.26705579012316855</v>
      </c>
      <c r="M36" s="6"/>
      <c r="N36" s="52"/>
      <c r="O36" s="53">
        <f>+F36-'2019-20'!F36</f>
        <v>-0.27700434254530393</v>
      </c>
      <c r="P36" s="54">
        <f>+F36/'2019-20'!F36-1</f>
        <v>-5.7531007079152374E-3</v>
      </c>
      <c r="Q36" s="34"/>
      <c r="R36" s="53">
        <f>+I36-'2020-21'!I36</f>
        <v>0.12108393241758364</v>
      </c>
      <c r="S36" s="54">
        <f>+I36/'2020-21'!I36-1</f>
        <v>6.3441167287838773E-3</v>
      </c>
      <c r="T36" s="35"/>
    </row>
    <row r="37" spans="1:27" ht="7.5" customHeight="1" x14ac:dyDescent="0.25">
      <c r="A37" s="20"/>
      <c r="B37" s="21"/>
      <c r="C37" s="21"/>
      <c r="D37" s="21"/>
      <c r="E37" s="21"/>
      <c r="F37" s="22"/>
      <c r="G37" s="22"/>
      <c r="H37" s="23"/>
      <c r="I37" s="24"/>
      <c r="J37" s="25"/>
      <c r="K37" s="26"/>
      <c r="L37" s="26"/>
      <c r="M37" s="6"/>
      <c r="N37" s="52"/>
      <c r="O37" s="36"/>
      <c r="P37" s="37"/>
      <c r="Q37" s="34"/>
      <c r="R37" s="36"/>
      <c r="S37" s="37"/>
      <c r="T37" s="35"/>
    </row>
    <row r="38" spans="1:27" ht="19.5" customHeight="1" outlineLevel="1" x14ac:dyDescent="0.25">
      <c r="A38" s="48" t="s">
        <v>32</v>
      </c>
      <c r="B38" s="49">
        <f t="shared" ref="B38:E38" si="8">B40+B41+B42+B43</f>
        <v>11.179509535808041</v>
      </c>
      <c r="C38" s="49">
        <f t="shared" si="8"/>
        <v>16.780207505000003</v>
      </c>
      <c r="D38" s="49">
        <f t="shared" si="8"/>
        <v>0.76700216599999982</v>
      </c>
      <c r="E38" s="49">
        <f t="shared" si="8"/>
        <v>27.192714874808047</v>
      </c>
      <c r="F38" s="49">
        <f>F40+F41+F42+F43</f>
        <v>26.990464727411887</v>
      </c>
      <c r="G38" s="49">
        <f>G40+G41+G42+G43</f>
        <v>0.91305615015719988</v>
      </c>
      <c r="H38" s="50"/>
      <c r="I38" s="50">
        <f>SUM(I40:I43)</f>
        <v>12.308835047218478</v>
      </c>
      <c r="J38" s="50">
        <f>SUM(J40:J43)</f>
        <v>0.39261414456759591</v>
      </c>
      <c r="K38" s="51">
        <f>IF(I38=0,0,J38/I38)</f>
        <v>3.1896937692435644E-2</v>
      </c>
      <c r="L38" s="51">
        <f>+I38/$I$89</f>
        <v>0.17114219050963925</v>
      </c>
      <c r="M38" s="6"/>
      <c r="N38" s="52"/>
      <c r="O38" s="53">
        <f>+F38-'2019-20'!F38</f>
        <v>-3.0770776855895576E-2</v>
      </c>
      <c r="P38" s="54">
        <f>+F38/'2019-20'!F38-1</f>
        <v>-1.1387627649755983E-3</v>
      </c>
      <c r="Q38" s="34"/>
      <c r="R38" s="53">
        <f>+I38-'2020-21'!I38</f>
        <v>-3.4636859145264154E-2</v>
      </c>
      <c r="S38" s="54">
        <f>+I38/'2020-21'!I38-1</f>
        <v>-2.8060872506548984E-3</v>
      </c>
      <c r="T38" s="35"/>
    </row>
    <row r="39" spans="1:27" ht="7.5" customHeight="1" outlineLevel="1" x14ac:dyDescent="0.25">
      <c r="A39" s="20"/>
      <c r="B39" s="21"/>
      <c r="C39" s="21"/>
      <c r="D39" s="21"/>
      <c r="E39" s="21"/>
      <c r="F39" s="22"/>
      <c r="G39" s="22"/>
      <c r="H39" s="23"/>
      <c r="I39" s="24"/>
      <c r="J39" s="25"/>
      <c r="K39" s="26"/>
      <c r="L39" s="26"/>
      <c r="M39" s="6"/>
      <c r="N39" s="52"/>
      <c r="O39" s="36"/>
      <c r="P39" s="37"/>
      <c r="Q39" s="34"/>
      <c r="R39" s="36"/>
      <c r="S39" s="37"/>
      <c r="T39" s="35"/>
    </row>
    <row r="40" spans="1:27" ht="15" customHeight="1" outlineLevel="1" x14ac:dyDescent="0.25">
      <c r="A40" s="55" t="s">
        <v>33</v>
      </c>
      <c r="B40" s="56">
        <f>(MIN((B23-D23)*'data from oilseed masterfile'!Z40,B23-D23-G23)*0.79)</f>
        <v>0.93168994913999992</v>
      </c>
      <c r="C40" s="56"/>
      <c r="D40" s="56"/>
      <c r="E40" s="56">
        <f>B40-D40</f>
        <v>0.93168994913999992</v>
      </c>
      <c r="F40" s="56">
        <f>(B40-D40)*0.98</f>
        <v>0.91305615015719988</v>
      </c>
      <c r="G40" s="56">
        <f>F40</f>
        <v>0.91305615015719988</v>
      </c>
      <c r="H40" s="61">
        <v>0.43</v>
      </c>
      <c r="I40" s="58">
        <f>F40*H40</f>
        <v>0.39261414456759591</v>
      </c>
      <c r="J40" s="58">
        <f>G40*H40</f>
        <v>0.39261414456759591</v>
      </c>
      <c r="K40" s="26"/>
      <c r="L40" s="26"/>
      <c r="M40" s="6">
        <f>+IF(H40&lt;15%,1,IF(H40&lt;30%,2,IF(H40&lt;50%,3,4)))</f>
        <v>3</v>
      </c>
      <c r="N40" s="52"/>
      <c r="O40" s="59">
        <f>+F40-'2019-20'!F40</f>
        <v>-9.4112489812600231E-2</v>
      </c>
      <c r="P40" s="60">
        <f>+F40/'2019-20'!F40-1</f>
        <v>-9.3442633217235782E-2</v>
      </c>
      <c r="Q40" s="34"/>
      <c r="R40" s="59">
        <f>+I40-'2020-21'!I40</f>
        <v>-1.3500044393626121E-2</v>
      </c>
      <c r="S40" s="60">
        <f>+I40/'2020-21'!I40-1</f>
        <v>-3.3241991441267271E-2</v>
      </c>
      <c r="T40" s="35"/>
    </row>
    <row r="41" spans="1:27" ht="15" customHeight="1" outlineLevel="1" x14ac:dyDescent="0.25">
      <c r="A41" s="55" t="s">
        <v>34</v>
      </c>
      <c r="B41" s="56">
        <f>(MIN(C23*'data from oilseed masterfile'!Z40,C23-(F23-G23))*0.79-B43)</f>
        <v>9.9478195866680412</v>
      </c>
      <c r="C41" s="56"/>
      <c r="D41" s="56">
        <f>+'data from oilseed masterfile'!Z35</f>
        <v>0.76700216599999982</v>
      </c>
      <c r="E41" s="56">
        <f>B41-D41</f>
        <v>9.180817420668042</v>
      </c>
      <c r="F41" s="56">
        <f>(B41-D41)*0.98</f>
        <v>8.9972010722546809</v>
      </c>
      <c r="G41" s="56">
        <v>0</v>
      </c>
      <c r="H41" s="61">
        <v>0.45500000000000002</v>
      </c>
      <c r="I41" s="58">
        <f>F41*H41</f>
        <v>4.0937264878758803</v>
      </c>
      <c r="J41" s="58">
        <f>G41*H41</f>
        <v>0</v>
      </c>
      <c r="K41" s="26"/>
      <c r="L41" s="26"/>
      <c r="M41" s="6">
        <f>+IF(H41&lt;15%,1,IF(H41&lt;30%,2,IF(H41&lt;50%,3,4)))</f>
        <v>3</v>
      </c>
      <c r="N41" s="52"/>
      <c r="O41" s="59">
        <f>+F41-'2019-20'!F41</f>
        <v>7.9096619956702696E-2</v>
      </c>
      <c r="P41" s="60">
        <f>+F41/'2019-20'!F41-1</f>
        <v>8.8692188322958554E-3</v>
      </c>
      <c r="Q41" s="34"/>
      <c r="R41" s="59">
        <f>+I41-'2020-21'!I41</f>
        <v>-0.10016439611164074</v>
      </c>
      <c r="S41" s="60">
        <f>+I41/'2020-21'!I41-1</f>
        <v>-2.3883405382355893E-2</v>
      </c>
      <c r="T41" s="64"/>
    </row>
    <row r="42" spans="1:27" ht="15" customHeight="1" outlineLevel="1" x14ac:dyDescent="0.25">
      <c r="A42" s="55" t="s">
        <v>35</v>
      </c>
      <c r="B42" s="56"/>
      <c r="C42" s="56">
        <f>+'data from oilseed masterfile'!Z31</f>
        <v>16.780207505000003</v>
      </c>
      <c r="D42" s="56"/>
      <c r="E42" s="56">
        <f>C42</f>
        <v>16.780207505000003</v>
      </c>
      <c r="F42" s="56">
        <f>(C42-D42)</f>
        <v>16.780207505000003</v>
      </c>
      <c r="G42" s="56">
        <v>0</v>
      </c>
      <c r="H42" s="61">
        <v>0.45500000000000002</v>
      </c>
      <c r="I42" s="58">
        <f>F42*H42</f>
        <v>7.6349944147750017</v>
      </c>
      <c r="J42" s="58">
        <f>G42*H42</f>
        <v>0</v>
      </c>
      <c r="K42" s="26"/>
      <c r="L42" s="26"/>
      <c r="M42" s="6">
        <f>+IF(H42&lt;15%,1,IF(H42&lt;30%,2,IF(H42&lt;50%,3,4)))</f>
        <v>3</v>
      </c>
      <c r="N42" s="52"/>
      <c r="O42" s="59">
        <f>+F42-'2019-20'!F42</f>
        <v>-1.5754906999998042E-2</v>
      </c>
      <c r="P42" s="60">
        <f>+F42/'2019-20'!F42-1</f>
        <v>-9.3801751954036838E-4</v>
      </c>
      <c r="Q42" s="34"/>
      <c r="R42" s="59">
        <f>+I42-'2020-21'!I42</f>
        <v>7.9027581360001875E-2</v>
      </c>
      <c r="S42" s="60">
        <f>+I42/'2020-21'!I42-1</f>
        <v>1.0458963505572294E-2</v>
      </c>
      <c r="T42" s="64"/>
    </row>
    <row r="43" spans="1:27" ht="15" customHeight="1" outlineLevel="1" x14ac:dyDescent="0.25">
      <c r="A43" s="55" t="s">
        <v>36</v>
      </c>
      <c r="B43" s="56">
        <f>F43</f>
        <v>0.3</v>
      </c>
      <c r="C43" s="56"/>
      <c r="D43" s="56"/>
      <c r="E43" s="56">
        <f>B43+C43-D43</f>
        <v>0.3</v>
      </c>
      <c r="F43" s="56">
        <v>0.3</v>
      </c>
      <c r="G43" s="56">
        <v>0</v>
      </c>
      <c r="H43" s="65">
        <v>0.625</v>
      </c>
      <c r="I43" s="58">
        <f>F43*H43</f>
        <v>0.1875</v>
      </c>
      <c r="J43" s="58">
        <f>G43*H43</f>
        <v>0</v>
      </c>
      <c r="K43" s="26"/>
      <c r="L43" s="26"/>
      <c r="M43" s="6">
        <f>+IF(H43&lt;15%,1,IF(H43&lt;30%,2,IF(H43&lt;50%,3,4)))</f>
        <v>4</v>
      </c>
      <c r="N43" s="52"/>
      <c r="O43" s="59">
        <f>+F43-'2019-20'!F43</f>
        <v>0</v>
      </c>
      <c r="P43" s="60">
        <f>+F43/'2019-20'!F43-1</f>
        <v>0</v>
      </c>
      <c r="Q43" s="34"/>
      <c r="R43" s="59">
        <f>+I43-'2020-21'!I43</f>
        <v>0</v>
      </c>
      <c r="S43" s="60">
        <f>+I43/'2020-21'!I43-1</f>
        <v>0</v>
      </c>
      <c r="T43" s="64"/>
    </row>
    <row r="44" spans="1:27" ht="12.75" customHeight="1" outlineLevel="1" x14ac:dyDescent="0.25">
      <c r="A44" s="20"/>
      <c r="B44" s="21"/>
      <c r="C44" s="21"/>
      <c r="D44" s="21"/>
      <c r="E44" s="21"/>
      <c r="F44" s="22"/>
      <c r="G44" s="22"/>
      <c r="H44" s="23"/>
      <c r="I44" s="24"/>
      <c r="J44" s="25"/>
      <c r="K44" s="26"/>
      <c r="L44" s="26"/>
      <c r="M44" s="6"/>
      <c r="N44" s="52"/>
      <c r="O44" s="36"/>
      <c r="P44" s="37"/>
      <c r="Q44" s="34"/>
      <c r="R44" s="36"/>
      <c r="S44" s="37"/>
      <c r="T44" s="35"/>
    </row>
    <row r="45" spans="1:27" ht="19.5" customHeight="1" outlineLevel="1" x14ac:dyDescent="0.25">
      <c r="A45" s="48" t="s">
        <v>37</v>
      </c>
      <c r="B45" s="49">
        <f t="shared" ref="B45:E45" si="9">B47+B48+B49</f>
        <v>12.211997370384925</v>
      </c>
      <c r="C45" s="49">
        <f t="shared" si="9"/>
        <v>0.57546273200000009</v>
      </c>
      <c r="D45" s="49">
        <f t="shared" si="9"/>
        <v>0.70297471199999995</v>
      </c>
      <c r="E45" s="49">
        <f t="shared" si="9"/>
        <v>12.084485390384925</v>
      </c>
      <c r="F45" s="49">
        <f>F47+F48+F49</f>
        <v>12.084485390384925</v>
      </c>
      <c r="G45" s="49">
        <f>G47+G48+G49</f>
        <v>8.4446245539805176</v>
      </c>
      <c r="H45" s="50"/>
      <c r="I45" s="50">
        <f>SUM(I47:I49)</f>
        <v>3.9878801788270248</v>
      </c>
      <c r="J45" s="50">
        <f>SUM(J47:J49)</f>
        <v>2.7867261028135708</v>
      </c>
      <c r="K45" s="51">
        <f>IF(I45=0,0,J45/I45)</f>
        <v>0.69879885499299144</v>
      </c>
      <c r="L45" s="51">
        <f>+I45/$I$89</f>
        <v>5.5447533960466665E-2</v>
      </c>
      <c r="M45" s="6"/>
      <c r="N45" s="52"/>
      <c r="O45" s="53">
        <f>+F45-'2019-20'!F45</f>
        <v>0.64570734910307337</v>
      </c>
      <c r="P45" s="54">
        <f>+F45/'2019-20'!F45-1</f>
        <v>5.6448979670097099E-2</v>
      </c>
      <c r="Q45" s="34"/>
      <c r="R45" s="53">
        <f>+I45-'2020-21'!I45</f>
        <v>2.9348906294179855E-2</v>
      </c>
      <c r="S45" s="54">
        <f>+I45/'2020-21'!I45-1</f>
        <v>7.4140897907826186E-3</v>
      </c>
      <c r="T45" s="35"/>
    </row>
    <row r="46" spans="1:27" ht="7.5" customHeight="1" outlineLevel="1" x14ac:dyDescent="0.25">
      <c r="A46" s="20"/>
      <c r="B46" s="21"/>
      <c r="C46" s="21"/>
      <c r="D46" s="21"/>
      <c r="E46" s="21"/>
      <c r="F46" s="22"/>
      <c r="G46" s="22"/>
      <c r="H46" s="23"/>
      <c r="I46" s="24"/>
      <c r="J46" s="25"/>
      <c r="K46" s="26"/>
      <c r="L46" s="26"/>
      <c r="M46" s="6"/>
      <c r="N46" s="52"/>
      <c r="O46" s="36"/>
      <c r="P46" s="37"/>
      <c r="Q46" s="34"/>
      <c r="R46" s="36"/>
      <c r="S46" s="37"/>
      <c r="T46" s="35"/>
    </row>
    <row r="47" spans="1:27" ht="15" customHeight="1" outlineLevel="1" x14ac:dyDescent="0.25">
      <c r="A47" s="55" t="s">
        <v>38</v>
      </c>
      <c r="B47" s="56">
        <f>(MIN((B24-D24)*'data from oilseed masterfile'!Z41,B24-D24-G24)*0.57)</f>
        <v>9.1475992659805172</v>
      </c>
      <c r="C47" s="56"/>
      <c r="D47" s="56">
        <f>+'data from oilseed masterfile'!Z36</f>
        <v>0.70297471199999995</v>
      </c>
      <c r="E47" s="56">
        <f>B47-D47</f>
        <v>8.4446245539805176</v>
      </c>
      <c r="F47" s="56">
        <f>(B47-D47)</f>
        <v>8.4446245539805176</v>
      </c>
      <c r="G47" s="56">
        <f>F47</f>
        <v>8.4446245539805176</v>
      </c>
      <c r="H47" s="61">
        <v>0.33</v>
      </c>
      <c r="I47" s="58">
        <f>F47*H47</f>
        <v>2.7867261028135708</v>
      </c>
      <c r="J47" s="58">
        <f>G47*H47</f>
        <v>2.7867261028135708</v>
      </c>
      <c r="K47" s="26"/>
      <c r="L47" s="26"/>
      <c r="M47" s="6">
        <f>+IF(H47&lt;15%,1,IF(H47&lt;30%,2,IF(H47&lt;50%,3,4)))</f>
        <v>3</v>
      </c>
      <c r="N47" s="52"/>
      <c r="O47" s="59">
        <f>+F47-'2019-20'!F47</f>
        <v>0.76750274985161937</v>
      </c>
      <c r="P47" s="60">
        <f>+F47/'2019-20'!F47-1</f>
        <v>9.9972720172140761E-2</v>
      </c>
      <c r="Q47" s="34"/>
      <c r="R47" s="59">
        <f>+I47-'2020-21'!I47</f>
        <v>3.4664810955679304E-2</v>
      </c>
      <c r="S47" s="60">
        <f>+I47/'2020-21'!I47-1</f>
        <v>1.25959443774879E-2</v>
      </c>
      <c r="T47" s="35"/>
    </row>
    <row r="48" spans="1:27" ht="15" customHeight="1" outlineLevel="1" x14ac:dyDescent="0.25">
      <c r="A48" s="55" t="s">
        <v>39</v>
      </c>
      <c r="B48" s="56">
        <f>C24*'data from oilseed masterfile'!Z41*0.57</f>
        <v>3.0643981044044066</v>
      </c>
      <c r="C48" s="56"/>
      <c r="D48" s="56"/>
      <c r="E48" s="56">
        <f>B48-D48</f>
        <v>3.0643981044044066</v>
      </c>
      <c r="F48" s="56">
        <f>(B48-D48)</f>
        <v>3.0643981044044066</v>
      </c>
      <c r="G48" s="56">
        <v>0</v>
      </c>
      <c r="H48" s="61">
        <v>0.33</v>
      </c>
      <c r="I48" s="58">
        <f>F48*H48</f>
        <v>1.0112513744534541</v>
      </c>
      <c r="J48" s="58">
        <f>G48*H48</f>
        <v>0</v>
      </c>
      <c r="K48" s="26"/>
      <c r="L48" s="26"/>
      <c r="M48" s="6">
        <f>+IF(H48&lt;15%,1,IF(H48&lt;30%,2,IF(H48&lt;50%,3,4)))</f>
        <v>3</v>
      </c>
      <c r="N48" s="52"/>
      <c r="O48" s="59">
        <f>+F48-'2019-20'!F48</f>
        <v>-0.2286987697485463</v>
      </c>
      <c r="P48" s="60">
        <f>+F48/'2019-20'!F48-1</f>
        <v>-6.9447932596083173E-2</v>
      </c>
      <c r="Q48" s="34"/>
      <c r="R48" s="59">
        <f>+I48-'2020-21'!I48</f>
        <v>-4.1238011101499383E-2</v>
      </c>
      <c r="S48" s="60">
        <f>+I48/'2020-21'!I48-1</f>
        <v>-3.9181403316248642E-2</v>
      </c>
      <c r="T48" s="64"/>
    </row>
    <row r="49" spans="1:27" ht="15" customHeight="1" outlineLevel="1" x14ac:dyDescent="0.25">
      <c r="A49" s="55" t="s">
        <v>40</v>
      </c>
      <c r="B49" s="56"/>
      <c r="C49" s="56">
        <f>+'data from oilseed masterfile'!Z32</f>
        <v>0.57546273200000009</v>
      </c>
      <c r="D49" s="56"/>
      <c r="E49" s="56">
        <f>C49</f>
        <v>0.57546273200000009</v>
      </c>
      <c r="F49" s="56">
        <f>IF((C49-D49)&lt;0,0,C49-D49)</f>
        <v>0.57546273200000009</v>
      </c>
      <c r="G49" s="56">
        <v>0</v>
      </c>
      <c r="H49" s="61">
        <v>0.33</v>
      </c>
      <c r="I49" s="58">
        <f>F49*H49</f>
        <v>0.18990270156000003</v>
      </c>
      <c r="J49" s="58">
        <f>G49*H49</f>
        <v>0</v>
      </c>
      <c r="K49" s="26"/>
      <c r="L49" s="26"/>
      <c r="M49" s="6">
        <f>+IF(H49&lt;15%,1,IF(H49&lt;30%,2,IF(H49&lt;50%,3,4)))</f>
        <v>3</v>
      </c>
      <c r="N49" s="52"/>
      <c r="O49" s="59">
        <f>+F49-'2019-20'!F49</f>
        <v>0.10690336900000014</v>
      </c>
      <c r="P49" s="60">
        <f>+F49/'2019-20'!F49-1</f>
        <v>0.22815330871960438</v>
      </c>
      <c r="Q49" s="34"/>
      <c r="R49" s="59">
        <f>+I49-'2020-21'!I49</f>
        <v>3.5922106440000018E-2</v>
      </c>
      <c r="S49" s="60">
        <f>+I49/'2020-21'!I49-1</f>
        <v>0.23328982727989356</v>
      </c>
      <c r="T49" s="64"/>
      <c r="U49" s="52"/>
      <c r="V49" s="52"/>
      <c r="W49" s="52"/>
      <c r="X49" s="52"/>
      <c r="Y49" s="52"/>
      <c r="Z49" s="52"/>
      <c r="AA49" s="52"/>
    </row>
    <row r="50" spans="1:27" ht="12.75" customHeight="1" outlineLevel="1" x14ac:dyDescent="0.25">
      <c r="A50" s="20"/>
      <c r="B50" s="21"/>
      <c r="C50" s="21"/>
      <c r="D50" s="21"/>
      <c r="E50" s="21"/>
      <c r="F50" s="22"/>
      <c r="G50" s="22"/>
      <c r="H50" s="23"/>
      <c r="I50" s="24"/>
      <c r="J50" s="25"/>
      <c r="K50" s="26"/>
      <c r="L50" s="26"/>
      <c r="M50" s="6"/>
      <c r="N50" s="52"/>
      <c r="O50" s="36"/>
      <c r="P50" s="37"/>
      <c r="Q50" s="34"/>
      <c r="R50" s="36"/>
      <c r="S50" s="37"/>
      <c r="T50" s="35"/>
      <c r="U50" s="52"/>
      <c r="V50" s="52"/>
      <c r="W50" s="52"/>
      <c r="X50" s="52"/>
      <c r="Y50" s="52"/>
      <c r="Z50" s="52"/>
      <c r="AA50" s="52"/>
    </row>
    <row r="51" spans="1:27" ht="19.5" customHeight="1" outlineLevel="1" x14ac:dyDescent="0.25">
      <c r="A51" s="48" t="s">
        <v>41</v>
      </c>
      <c r="B51" s="49">
        <f t="shared" ref="B51:E51" si="10">B53+B54+B55</f>
        <v>5.3999625398723659</v>
      </c>
      <c r="C51" s="49">
        <f t="shared" si="10"/>
        <v>2.388796116</v>
      </c>
      <c r="D51" s="49">
        <f t="shared" si="10"/>
        <v>0.9120082399999998</v>
      </c>
      <c r="E51" s="49">
        <f t="shared" si="10"/>
        <v>6.8767504158723662</v>
      </c>
      <c r="F51" s="49">
        <f>F53+F54+F55</f>
        <v>6.8767504158723662</v>
      </c>
      <c r="G51" s="49">
        <f>G53+G54+G55</f>
        <v>3.928552779657144</v>
      </c>
      <c r="H51" s="50"/>
      <c r="I51" s="50">
        <f>SUM(I53:I55)</f>
        <v>2.4756301497140516</v>
      </c>
      <c r="J51" s="50">
        <f>SUM(J53:J55)</f>
        <v>1.4142790006765718</v>
      </c>
      <c r="K51" s="51">
        <f>IF(I51=0,0,J51/I51)</f>
        <v>0.57128040747117592</v>
      </c>
      <c r="L51" s="51">
        <f>+I51/$I$89</f>
        <v>3.4421191370950434E-2</v>
      </c>
      <c r="M51" s="6"/>
      <c r="N51" s="52"/>
      <c r="O51" s="53">
        <f>+F51-'2019-20'!F51</f>
        <v>-0.70403775179248562</v>
      </c>
      <c r="P51" s="54">
        <f>+F51/'2019-20'!F51-1</f>
        <v>-9.28713131433343E-2</v>
      </c>
      <c r="Q51" s="34"/>
      <c r="R51" s="53">
        <f>+I51-'2020-21'!I51</f>
        <v>0.1285549093186642</v>
      </c>
      <c r="S51" s="54">
        <f>+I51/'2020-21'!I51-1</f>
        <v>5.4772385267465085E-2</v>
      </c>
      <c r="T51" s="35"/>
    </row>
    <row r="52" spans="1:27" ht="7.5" customHeight="1" outlineLevel="1" x14ac:dyDescent="0.25">
      <c r="A52" s="20"/>
      <c r="B52" s="21"/>
      <c r="C52" s="21"/>
      <c r="D52" s="21"/>
      <c r="E52" s="21"/>
      <c r="F52" s="22"/>
      <c r="G52" s="22"/>
      <c r="H52" s="23"/>
      <c r="I52" s="24"/>
      <c r="J52" s="25"/>
      <c r="K52" s="26"/>
      <c r="L52" s="26"/>
      <c r="M52" s="6"/>
      <c r="N52" s="52"/>
      <c r="O52" s="36"/>
      <c r="P52" s="37"/>
      <c r="Q52" s="34"/>
      <c r="R52" s="36"/>
      <c r="S52" s="37"/>
      <c r="T52" s="35"/>
    </row>
    <row r="53" spans="1:27" ht="15" customHeight="1" outlineLevel="1" x14ac:dyDescent="0.25">
      <c r="A53" s="55" t="s">
        <v>42</v>
      </c>
      <c r="B53" s="56">
        <f>MIN((B25-D25)*'data from oilseed masterfile'!Z42,B25-D25-F25)*55%</f>
        <v>4.8405610196571436</v>
      </c>
      <c r="C53" s="56"/>
      <c r="D53" s="56">
        <f>+'data from oilseed masterfile'!Z37</f>
        <v>0.9120082399999998</v>
      </c>
      <c r="E53" s="56">
        <f>B53-D53</f>
        <v>3.928552779657144</v>
      </c>
      <c r="F53" s="56">
        <f>(B53-D53)</f>
        <v>3.928552779657144</v>
      </c>
      <c r="G53" s="56">
        <f>F53</f>
        <v>3.928552779657144</v>
      </c>
      <c r="H53" s="61">
        <v>0.36</v>
      </c>
      <c r="I53" s="58">
        <f>F53*H53</f>
        <v>1.4142790006765718</v>
      </c>
      <c r="J53" s="58">
        <f>G53*H53</f>
        <v>1.4142790006765718</v>
      </c>
      <c r="K53" s="26"/>
      <c r="L53" s="26"/>
      <c r="M53" s="6">
        <f>+IF(H53&lt;15%,1,IF(H53&lt;30%,2,IF(H53&lt;50%,3,4)))</f>
        <v>3</v>
      </c>
      <c r="N53" s="52"/>
      <c r="O53" s="59">
        <f>+F53-'2019-20'!F53</f>
        <v>-0.16306812656216341</v>
      </c>
      <c r="P53" s="60">
        <f>+F53/'2019-20'!F53-1</f>
        <v>-3.9854163007696508E-2</v>
      </c>
      <c r="Q53" s="34"/>
      <c r="R53" s="59">
        <f>+I53-'2020-21'!I53</f>
        <v>0.17652495069128471</v>
      </c>
      <c r="S53" s="60">
        <f>+I53/'2020-21'!I53-1</f>
        <v>0.14261714651095914</v>
      </c>
      <c r="T53" s="35"/>
    </row>
    <row r="54" spans="1:27" ht="15" customHeight="1" outlineLevel="1" x14ac:dyDescent="0.25">
      <c r="A54" s="55" t="s">
        <v>43</v>
      </c>
      <c r="B54" s="56">
        <f>C25*'data from oilseed masterfile'!Z42*55%</f>
        <v>0.55940152021522238</v>
      </c>
      <c r="C54" s="56"/>
      <c r="D54" s="56"/>
      <c r="E54" s="56">
        <f>B54-D54</f>
        <v>0.55940152021522238</v>
      </c>
      <c r="F54" s="56">
        <f>(B54-D54)</f>
        <v>0.55940152021522238</v>
      </c>
      <c r="G54" s="56">
        <v>0</v>
      </c>
      <c r="H54" s="61">
        <v>0.36</v>
      </c>
      <c r="I54" s="58">
        <f>F54*H54</f>
        <v>0.20138454727748004</v>
      </c>
      <c r="J54" s="58">
        <f>G54*H54</f>
        <v>0</v>
      </c>
      <c r="K54" s="26"/>
      <c r="L54" s="26"/>
      <c r="M54" s="6">
        <f>+IF(H54&lt;15%,1,IF(H54&lt;30%,2,IF(H54&lt;50%,3,4)))</f>
        <v>3</v>
      </c>
      <c r="N54" s="52"/>
      <c r="O54" s="59">
        <f>+F54-'2019-20'!F54</f>
        <v>8.8999076769677721E-2</v>
      </c>
      <c r="P54" s="60">
        <f>+F54/'2019-20'!F54-1</f>
        <v>0.18919773485398683</v>
      </c>
      <c r="Q54" s="34"/>
      <c r="R54" s="59">
        <f>+I54-'2020-21'!I54</f>
        <v>5.8270684347379892E-2</v>
      </c>
      <c r="S54" s="60">
        <f>+I54/'2020-21'!I54-1</f>
        <v>0.40716310184318427</v>
      </c>
      <c r="T54" s="64"/>
      <c r="U54" s="52"/>
      <c r="V54" s="52"/>
      <c r="W54" s="52"/>
      <c r="X54" s="52"/>
      <c r="Y54" s="52"/>
      <c r="Z54" s="52"/>
      <c r="AA54" s="52"/>
    </row>
    <row r="55" spans="1:27" ht="15" customHeight="1" outlineLevel="1" x14ac:dyDescent="0.25">
      <c r="A55" s="55" t="s">
        <v>44</v>
      </c>
      <c r="B55" s="56"/>
      <c r="C55" s="56">
        <f>+'data from oilseed masterfile'!Z33</f>
        <v>2.388796116</v>
      </c>
      <c r="D55" s="56"/>
      <c r="E55" s="56">
        <f>C55</f>
        <v>2.388796116</v>
      </c>
      <c r="F55" s="56">
        <f>C55-D55</f>
        <v>2.388796116</v>
      </c>
      <c r="G55" s="56">
        <v>0</v>
      </c>
      <c r="H55" s="61">
        <v>0.36</v>
      </c>
      <c r="I55" s="58">
        <f>F55*H55</f>
        <v>0.85996660175999995</v>
      </c>
      <c r="J55" s="58">
        <f>G55*H55</f>
        <v>0</v>
      </c>
      <c r="K55" s="26"/>
      <c r="L55" s="26"/>
      <c r="M55" s="6">
        <f>+IF(H55&lt;15%,1,IF(H55&lt;30%,2,IF(H55&lt;50%,3,4)))</f>
        <v>3</v>
      </c>
      <c r="N55" s="52"/>
      <c r="O55" s="59">
        <f>+F55-'2019-20'!F55</f>
        <v>-0.62996870200000021</v>
      </c>
      <c r="P55" s="60">
        <f>+F55/'2019-20'!F55-1</f>
        <v>-0.20868425994753992</v>
      </c>
      <c r="Q55" s="34"/>
      <c r="R55" s="59">
        <f>+I55-'2020-21'!I55</f>
        <v>-0.10624072572000021</v>
      </c>
      <c r="S55" s="60">
        <f>+I55/'2020-21'!I55-1</f>
        <v>-0.1099564479572831</v>
      </c>
      <c r="T55" s="64"/>
      <c r="U55" s="52"/>
      <c r="V55" s="52"/>
      <c r="W55" s="52"/>
      <c r="X55" s="52"/>
      <c r="Y55" s="52"/>
      <c r="Z55" s="52"/>
      <c r="AA55" s="52"/>
    </row>
    <row r="56" spans="1:27" ht="12.75" customHeight="1" outlineLevel="1" x14ac:dyDescent="0.25">
      <c r="A56" s="20"/>
      <c r="B56" s="21"/>
      <c r="C56" s="21"/>
      <c r="D56" s="21"/>
      <c r="E56" s="21"/>
      <c r="F56" s="22"/>
      <c r="G56" s="22"/>
      <c r="H56" s="23"/>
      <c r="I56" s="24"/>
      <c r="J56" s="25"/>
      <c r="K56" s="26"/>
      <c r="L56" s="26"/>
      <c r="M56" s="6"/>
      <c r="N56" s="52"/>
      <c r="O56" s="36"/>
      <c r="P56" s="37"/>
      <c r="Q56" s="34"/>
      <c r="R56" s="36"/>
      <c r="S56" s="37"/>
      <c r="T56" s="35"/>
      <c r="U56" s="52"/>
      <c r="V56" s="52"/>
      <c r="W56" s="52"/>
      <c r="X56" s="52"/>
      <c r="Y56" s="52"/>
      <c r="Z56" s="52"/>
      <c r="AA56" s="52"/>
    </row>
    <row r="57" spans="1:27" ht="19.5" customHeight="1" outlineLevel="1" x14ac:dyDescent="0.25">
      <c r="A57" s="48" t="s">
        <v>45</v>
      </c>
      <c r="B57" s="49">
        <f t="shared" ref="B57:E57" si="11">B59+B60+B61</f>
        <v>0.63600000000000001</v>
      </c>
      <c r="C57" s="49">
        <f t="shared" si="11"/>
        <v>1.3971514479999998</v>
      </c>
      <c r="D57" s="49">
        <f t="shared" si="11"/>
        <v>0.11315241499999998</v>
      </c>
      <c r="E57" s="49">
        <f t="shared" si="11"/>
        <v>1.9199990329999999</v>
      </c>
      <c r="F57" s="49">
        <f>F59+F60+F61</f>
        <v>1.9199990329999999</v>
      </c>
      <c r="G57" s="49">
        <f>G59+G60+G61</f>
        <v>0.12755003500000001</v>
      </c>
      <c r="H57" s="50"/>
      <c r="I57" s="50">
        <f>SUM(I59:I61)</f>
        <v>0.43475755568000007</v>
      </c>
      <c r="J57" s="50">
        <f>SUM(J59:J61)</f>
        <v>6.4361837830000004E-2</v>
      </c>
      <c r="K57" s="51">
        <f>IF(I57=0,0,J57/I57)</f>
        <v>0.14804075740404851</v>
      </c>
      <c r="L57" s="51">
        <f>+I57/$I$89</f>
        <v>6.0448742821121492E-3</v>
      </c>
      <c r="M57" s="6"/>
      <c r="N57" s="52"/>
      <c r="O57" s="53">
        <f>+F57-'2019-20'!F57</f>
        <v>-0.18790316300000054</v>
      </c>
      <c r="P57" s="54">
        <f>+F57/'2019-20'!F57-1</f>
        <v>-8.9142258761611193E-2</v>
      </c>
      <c r="Q57" s="34"/>
      <c r="R57" s="53">
        <f>+I57-'2020-21'!I57</f>
        <v>-2.183024049999982E-3</v>
      </c>
      <c r="S57" s="54">
        <f>+I57/'2020-21'!I57-1</f>
        <v>-4.9961577186283801E-3</v>
      </c>
      <c r="T57" s="35"/>
    </row>
    <row r="58" spans="1:27" ht="7.5" customHeight="1" outlineLevel="1" x14ac:dyDescent="0.25">
      <c r="A58" s="20"/>
      <c r="B58" s="21"/>
      <c r="C58" s="21"/>
      <c r="D58" s="21"/>
      <c r="E58" s="21"/>
      <c r="F58" s="22"/>
      <c r="G58" s="22"/>
      <c r="H58" s="23"/>
      <c r="I58" s="24"/>
      <c r="J58" s="25"/>
      <c r="K58" s="26"/>
      <c r="L58" s="26"/>
      <c r="M58" s="6"/>
      <c r="N58" s="52"/>
      <c r="O58" s="36"/>
      <c r="P58" s="37"/>
      <c r="Q58" s="34"/>
      <c r="R58" s="36"/>
      <c r="S58" s="37"/>
      <c r="T58" s="35"/>
    </row>
    <row r="59" spans="1:27" ht="15" customHeight="1" outlineLevel="1" x14ac:dyDescent="0.25">
      <c r="A59" s="55" t="s">
        <v>46</v>
      </c>
      <c r="B59" s="56">
        <v>0</v>
      </c>
      <c r="C59" s="56">
        <v>1.3322345759999998</v>
      </c>
      <c r="D59" s="56">
        <v>8.175392799999999E-2</v>
      </c>
      <c r="E59" s="56">
        <f>B59+C59-D59</f>
        <v>1.2504806479999999</v>
      </c>
      <c r="F59" s="56">
        <f>E59</f>
        <v>1.2504806479999999</v>
      </c>
      <c r="G59" s="56">
        <f>IF(B59&gt;E59,F59,F59*(B59-D59)/E59)</f>
        <v>-8.175392799999999E-2</v>
      </c>
      <c r="H59" s="63">
        <v>0.16</v>
      </c>
      <c r="I59" s="58">
        <f>F59*H59</f>
        <v>0.20007690368</v>
      </c>
      <c r="J59" s="58">
        <f>G59*H59</f>
        <v>-1.3080628479999998E-2</v>
      </c>
      <c r="K59" s="26"/>
      <c r="L59" s="26"/>
      <c r="M59" s="6">
        <f>+IF(H59&lt;15%,1,IF(H59&lt;30%,2,IF(H59&lt;50%,3,4)))</f>
        <v>2</v>
      </c>
      <c r="N59" s="52"/>
      <c r="O59" s="59">
        <f>+F59-'2019-20'!F59</f>
        <v>-0.22492492200000025</v>
      </c>
      <c r="P59" s="60">
        <f>+F59/'2019-20'!F59-1</f>
        <v>-0.15244955459941789</v>
      </c>
      <c r="Q59" s="34"/>
      <c r="R59" s="59">
        <f>+I59-'2020-21'!I59</f>
        <v>-1.2757469920000014E-2</v>
      </c>
      <c r="S59" s="60">
        <f>+I59/'2020-21'!I59-1</f>
        <v>-5.9940834293883083E-2</v>
      </c>
      <c r="T59" s="35"/>
    </row>
    <row r="60" spans="1:27" ht="15" customHeight="1" outlineLevel="4" x14ac:dyDescent="0.25">
      <c r="A60" s="55" t="s">
        <v>47</v>
      </c>
      <c r="B60" s="56">
        <v>0.40200000000000002</v>
      </c>
      <c r="C60" s="56">
        <v>3.9407465000000003E-2</v>
      </c>
      <c r="D60" s="56">
        <v>6.7024500000000004E-3</v>
      </c>
      <c r="E60" s="56">
        <f>B60+C60-D60</f>
        <v>0.43470501500000003</v>
      </c>
      <c r="F60" s="56">
        <f>E60</f>
        <v>0.43470501500000003</v>
      </c>
      <c r="G60" s="56">
        <v>0</v>
      </c>
      <c r="H60" s="61">
        <v>0.34</v>
      </c>
      <c r="I60" s="58">
        <f>F60*H60</f>
        <v>0.14779970510000001</v>
      </c>
      <c r="J60" s="58">
        <f>G60*H60</f>
        <v>0</v>
      </c>
      <c r="K60" s="26"/>
      <c r="L60" s="26"/>
      <c r="M60" s="6">
        <f>+IF(H60&lt;15%,1,IF(H60&lt;30%,2,IF(H60&lt;50%,3,4)))</f>
        <v>3</v>
      </c>
      <c r="N60" s="52"/>
      <c r="O60" s="59">
        <f>+F60-'2019-20'!F60</f>
        <v>2.5425740000000197E-3</v>
      </c>
      <c r="P60" s="60">
        <f>+F60/'2019-20'!F60-1</f>
        <v>5.8833756911327306E-3</v>
      </c>
      <c r="Q60" s="34"/>
      <c r="R60" s="59">
        <f>+I60-'2020-21'!I60</f>
        <v>-5.5457270800000069E-3</v>
      </c>
      <c r="S60" s="60">
        <f>+I60/'2020-21'!I60-1</f>
        <v>-3.6164931691544111E-2</v>
      </c>
      <c r="T60" s="64"/>
      <c r="U60" s="52"/>
      <c r="V60" s="52"/>
      <c r="W60" s="52"/>
      <c r="X60" s="52"/>
      <c r="Y60" s="52"/>
      <c r="Z60" s="52"/>
      <c r="AA60" s="52"/>
    </row>
    <row r="61" spans="1:27" ht="15" customHeight="1" outlineLevel="4" x14ac:dyDescent="0.25">
      <c r="A61" s="55" t="s">
        <v>48</v>
      </c>
      <c r="B61" s="56">
        <v>0.23400000000000001</v>
      </c>
      <c r="C61" s="56">
        <v>2.5509406999999994E-2</v>
      </c>
      <c r="D61" s="56">
        <v>2.4696036999999997E-2</v>
      </c>
      <c r="E61" s="56">
        <f>B61+C61-D61</f>
        <v>0.23481337000000002</v>
      </c>
      <c r="F61" s="56">
        <f>E61</f>
        <v>0.23481337000000002</v>
      </c>
      <c r="G61" s="56">
        <f>IF(B61&gt;E61,F61,F61*(B61-D61)/E61)</f>
        <v>0.20930396300000001</v>
      </c>
      <c r="H61" s="61">
        <v>0.37</v>
      </c>
      <c r="I61" s="58">
        <f>F61*H61</f>
        <v>8.6880946900000006E-2</v>
      </c>
      <c r="J61" s="58">
        <f>G61*H61</f>
        <v>7.7442466309999999E-2</v>
      </c>
      <c r="K61" s="26"/>
      <c r="L61" s="26"/>
      <c r="M61" s="6">
        <f>+IF(H61&lt;15%,1,IF(H61&lt;30%,2,IF(H61&lt;50%,3,4)))</f>
        <v>3</v>
      </c>
      <c r="N61" s="52"/>
      <c r="O61" s="59">
        <f>+F61-'2019-20'!F61</f>
        <v>3.4479185000000023E-2</v>
      </c>
      <c r="P61" s="60">
        <f>+F61/'2019-20'!F61-1</f>
        <v>0.17210834486385851</v>
      </c>
      <c r="Q61" s="34"/>
      <c r="R61" s="59">
        <f>+I61-'2020-21'!I61</f>
        <v>1.6120172949999997E-2</v>
      </c>
      <c r="S61" s="60">
        <f>+I61/'2020-21'!I61-1</f>
        <v>0.22781227578701446</v>
      </c>
      <c r="T61" s="64"/>
      <c r="U61" s="52"/>
      <c r="V61" s="52"/>
      <c r="W61" s="52"/>
      <c r="X61" s="52"/>
      <c r="Y61" s="52"/>
      <c r="Z61" s="52"/>
      <c r="AA61" s="52"/>
    </row>
    <row r="62" spans="1:27" ht="12.75" customHeight="1" outlineLevel="1" x14ac:dyDescent="0.25">
      <c r="A62" s="20"/>
      <c r="B62" s="21"/>
      <c r="C62" s="21"/>
      <c r="D62" s="21"/>
      <c r="E62" s="21"/>
      <c r="F62" s="22"/>
      <c r="G62" s="22"/>
      <c r="H62" s="23"/>
      <c r="I62" s="24"/>
      <c r="J62" s="25"/>
      <c r="K62" s="26"/>
      <c r="L62" s="26"/>
      <c r="M62" s="6"/>
      <c r="N62" s="52"/>
      <c r="O62" s="36"/>
      <c r="P62" s="37"/>
      <c r="Q62" s="34"/>
      <c r="R62" s="36"/>
      <c r="S62" s="37"/>
      <c r="T62" s="35"/>
      <c r="U62" s="52"/>
      <c r="V62" s="52"/>
      <c r="W62" s="52"/>
      <c r="X62" s="52"/>
      <c r="Y62" s="52"/>
      <c r="Z62" s="52"/>
      <c r="AA62" s="52"/>
    </row>
    <row r="63" spans="1:27" ht="19.5" customHeight="1" x14ac:dyDescent="0.25">
      <c r="A63" s="48" t="s">
        <v>49</v>
      </c>
      <c r="B63" s="49">
        <f t="shared" ref="B63:E63" si="12">SUM(B65:B72)</f>
        <v>30.117316458481433</v>
      </c>
      <c r="C63" s="49">
        <f t="shared" ref="C63:D63" si="13">SUM(C65:C72)</f>
        <v>3.6690443789999998</v>
      </c>
      <c r="D63" s="49">
        <f t="shared" si="13"/>
        <v>1.1712606139999999</v>
      </c>
      <c r="E63" s="49">
        <f t="shared" si="12"/>
        <v>32.615100223481434</v>
      </c>
      <c r="F63" s="49">
        <f>SUM(F65:F72)</f>
        <v>29.579194214601433</v>
      </c>
      <c r="G63" s="49">
        <f>SUM(G65:G72)</f>
        <v>27.646925015601433</v>
      </c>
      <c r="H63" s="50"/>
      <c r="I63" s="50">
        <f>SUM(I65:I72)</f>
        <v>4.4407211333375383</v>
      </c>
      <c r="J63" s="50">
        <f>SUM(J65:J72)</f>
        <v>4.1517503017915383</v>
      </c>
      <c r="K63" s="51">
        <f>IF(I63=0,0,J63/I63)</f>
        <v>0.93492704836234186</v>
      </c>
      <c r="L63" s="51">
        <f>+I63/$I$89</f>
        <v>6.1743840037370226E-2</v>
      </c>
      <c r="M63" s="6"/>
      <c r="N63" s="52"/>
      <c r="O63" s="53">
        <f>+F63-'2019-20'!F63</f>
        <v>-0.44196112122147824</v>
      </c>
      <c r="P63" s="54">
        <f>+F63/'2019-20'!F63-1</f>
        <v>-1.4721655988172655E-2</v>
      </c>
      <c r="Q63" s="34"/>
      <c r="R63" s="53">
        <f>+I63-'2020-21'!I63</f>
        <v>9.5124190071736336E-2</v>
      </c>
      <c r="S63" s="54">
        <f>+I63/'2020-21'!I63-1</f>
        <v>2.1889786676867695E-2</v>
      </c>
      <c r="T63" s="35"/>
      <c r="U63" s="52"/>
      <c r="V63" s="52"/>
      <c r="W63" s="52"/>
      <c r="X63" s="52"/>
      <c r="Y63" s="52"/>
      <c r="Z63" s="52"/>
      <c r="AA63" s="52"/>
    </row>
    <row r="64" spans="1:27" ht="7.5" customHeight="1" outlineLevel="2" x14ac:dyDescent="0.25">
      <c r="A64" s="20"/>
      <c r="B64" s="21"/>
      <c r="C64" s="21"/>
      <c r="D64" s="21"/>
      <c r="E64" s="21"/>
      <c r="F64" s="22"/>
      <c r="G64" s="22"/>
      <c r="H64" s="23"/>
      <c r="I64" s="24"/>
      <c r="J64" s="25"/>
      <c r="K64" s="26"/>
      <c r="L64" s="26"/>
      <c r="M64" s="6"/>
      <c r="N64" s="52"/>
      <c r="O64" s="36"/>
      <c r="P64" s="37"/>
      <c r="Q64" s="34"/>
      <c r="R64" s="36"/>
      <c r="S64" s="37"/>
      <c r="T64" s="35"/>
      <c r="U64" s="52"/>
      <c r="V64" s="52"/>
      <c r="W64" s="52"/>
      <c r="X64" s="52"/>
      <c r="Y64" s="52"/>
      <c r="Z64" s="52"/>
      <c r="AA64" s="52"/>
    </row>
    <row r="65" spans="1:27" ht="15" customHeight="1" outlineLevel="4" x14ac:dyDescent="0.25">
      <c r="A65" s="55" t="s">
        <v>50</v>
      </c>
      <c r="B65" s="56">
        <v>4</v>
      </c>
      <c r="C65" s="56">
        <v>0.43192098300000004</v>
      </c>
      <c r="D65" s="56">
        <v>0.43046820599999996</v>
      </c>
      <c r="E65" s="56">
        <f t="shared" ref="E65:E67" si="14">B65+C65-D65</f>
        <v>4.0014527770000008</v>
      </c>
      <c r="F65" s="56">
        <f>E65</f>
        <v>4.0014527770000008</v>
      </c>
      <c r="G65" s="56">
        <f>+F65</f>
        <v>4.0014527770000008</v>
      </c>
      <c r="H65" s="63">
        <v>0.19</v>
      </c>
      <c r="I65" s="58">
        <f>F65*H65</f>
        <v>0.76027602763000013</v>
      </c>
      <c r="J65" s="58">
        <f>G65*H65</f>
        <v>0.76027602763000013</v>
      </c>
      <c r="K65" s="26"/>
      <c r="L65" s="26"/>
      <c r="M65" s="6">
        <f t="shared" ref="M65:M71" si="15">+IF(H65&lt;15%,1,IF(H65&lt;30%,2,IF(H65&lt;50%,3,4)))</f>
        <v>2</v>
      </c>
      <c r="N65" s="52"/>
      <c r="O65" s="59">
        <f>+F65-'2019-20'!F65</f>
        <v>0.18421222542773652</v>
      </c>
      <c r="P65" s="60">
        <f>+F65/'2019-20'!F65-1</f>
        <v>4.8257955698354449E-2</v>
      </c>
      <c r="Q65" s="34"/>
      <c r="R65" s="59">
        <f>+I65-'2020-21'!I65</f>
        <v>-2.2131139212833939E-2</v>
      </c>
      <c r="S65" s="60">
        <f>+I65/'2020-21'!I65-1</f>
        <v>-2.8285961773762192E-2</v>
      </c>
      <c r="T65" s="64"/>
      <c r="U65" s="52"/>
      <c r="V65" s="52"/>
      <c r="W65" s="52"/>
      <c r="X65" s="52"/>
      <c r="Y65" s="52"/>
      <c r="Z65" s="52"/>
      <c r="AA65" s="52"/>
    </row>
    <row r="66" spans="1:27" ht="15.75" outlineLevel="4" x14ac:dyDescent="0.25">
      <c r="A66" s="55" t="s">
        <v>51</v>
      </c>
      <c r="B66" s="56">
        <v>1.1000000000000001</v>
      </c>
      <c r="C66" s="56"/>
      <c r="D66" s="56"/>
      <c r="E66" s="56">
        <f t="shared" si="14"/>
        <v>1.1000000000000001</v>
      </c>
      <c r="F66" s="56">
        <v>0.7</v>
      </c>
      <c r="G66" s="56">
        <f>+F66</f>
        <v>0.7</v>
      </c>
      <c r="H66" s="65">
        <v>0.73</v>
      </c>
      <c r="I66" s="58">
        <f>F66*H66</f>
        <v>0.51100000000000001</v>
      </c>
      <c r="J66" s="58">
        <f>G66*H66</f>
        <v>0.51100000000000001</v>
      </c>
      <c r="K66" s="26"/>
      <c r="L66" s="26"/>
      <c r="M66" s="6">
        <f t="shared" si="15"/>
        <v>4</v>
      </c>
      <c r="N66" s="52"/>
      <c r="O66" s="59">
        <f>+F66-'2019-20'!F66</f>
        <v>3.85629316950582E-2</v>
      </c>
      <c r="P66" s="60">
        <f>+F66/'2019-20'!F66-1</f>
        <v>5.8301739565160826E-2</v>
      </c>
      <c r="Q66" s="34"/>
      <c r="R66" s="59">
        <f>+I66-'2020-21'!I66</f>
        <v>2.2293934245439573E-2</v>
      </c>
      <c r="S66" s="60">
        <f>+I66/'2020-21'!I66-1</f>
        <v>4.5618288389807082E-2</v>
      </c>
      <c r="T66" s="64"/>
      <c r="U66" s="52"/>
      <c r="V66" s="52"/>
      <c r="W66" s="52"/>
      <c r="X66" s="52"/>
      <c r="Y66" s="52"/>
      <c r="Z66" s="52"/>
      <c r="AA66" s="52"/>
    </row>
    <row r="67" spans="1:27" ht="29.25" customHeight="1" outlineLevel="4" x14ac:dyDescent="0.25">
      <c r="A67" s="66" t="s">
        <v>52</v>
      </c>
      <c r="B67" s="67">
        <f>'data from cereal masterfile'!K60*(I77*0.362+(1-I77)*0.276)</f>
        <v>3.1026900289065629</v>
      </c>
      <c r="C67" s="67">
        <v>0.71609552700000001</v>
      </c>
      <c r="D67" s="67">
        <v>0.25749529499999996</v>
      </c>
      <c r="E67" s="67">
        <f t="shared" si="14"/>
        <v>3.5612902609065626</v>
      </c>
      <c r="F67" s="67">
        <f>E67</f>
        <v>3.5612902609065626</v>
      </c>
      <c r="G67" s="67">
        <f>IF(B67&gt;E67,F67,F67*(B67-D67)/E67)</f>
        <v>2.8451947339065629</v>
      </c>
      <c r="H67" s="68" t="s">
        <v>53</v>
      </c>
      <c r="I67" s="69">
        <f>(B67-D67)*0.3+C67*0.27</f>
        <v>1.0469042124619687</v>
      </c>
      <c r="J67" s="69">
        <f>(B67-D67)*0.3</f>
        <v>0.85355842017196881</v>
      </c>
      <c r="K67" s="26"/>
      <c r="L67" s="26"/>
      <c r="M67" s="6">
        <v>2</v>
      </c>
      <c r="N67" s="52"/>
      <c r="O67" s="59">
        <f>+F67-'2019-20'!F67</f>
        <v>0.30605027091115167</v>
      </c>
      <c r="P67" s="70">
        <f>+F67/'2019-20'!F67-1</f>
        <v>9.4017728908393883E-2</v>
      </c>
      <c r="Q67" s="34"/>
      <c r="R67" s="59">
        <f>+I67-'2020-21'!I67</f>
        <v>7.0109641259999966E-2</v>
      </c>
      <c r="S67" s="70">
        <f>+I67/'2020-21'!I67-1</f>
        <v>7.1775215922554203E-2</v>
      </c>
      <c r="T67" s="64"/>
      <c r="U67" s="52"/>
      <c r="V67" s="52"/>
      <c r="W67" s="52"/>
      <c r="X67" s="52"/>
      <c r="Y67" s="52"/>
      <c r="Z67" s="52"/>
      <c r="AA67" s="52"/>
    </row>
    <row r="68" spans="1:27" ht="15" customHeight="1" outlineLevel="4" x14ac:dyDescent="0.25">
      <c r="A68" s="55" t="s">
        <v>54</v>
      </c>
      <c r="B68" s="56">
        <v>6.0898030488749999</v>
      </c>
      <c r="C68" s="56"/>
      <c r="D68" s="56"/>
      <c r="E68" s="56">
        <f>B68+C68-D68</f>
        <v>6.0898030488749999</v>
      </c>
      <c r="F68" s="56">
        <f>E68</f>
        <v>6.0898030488749999</v>
      </c>
      <c r="G68" s="56">
        <f>+F68</f>
        <v>6.0898030488749999</v>
      </c>
      <c r="H68" s="57">
        <v>5.3999999999999999E-2</v>
      </c>
      <c r="I68" s="58">
        <f>+F68*$H$68</f>
        <v>0.32884936463924996</v>
      </c>
      <c r="J68" s="58">
        <f>+G68*$H$68</f>
        <v>0.32884936463924996</v>
      </c>
      <c r="K68" s="26"/>
      <c r="L68" s="26"/>
      <c r="M68" s="6">
        <f t="shared" si="15"/>
        <v>1</v>
      </c>
      <c r="N68" s="52"/>
      <c r="O68" s="59">
        <f>+F68-'2019-20'!F68</f>
        <v>-0.22068016110000066</v>
      </c>
      <c r="P68" s="60">
        <f>+F68/'2019-20'!F68-1</f>
        <v>-3.4970406188732261E-2</v>
      </c>
      <c r="Q68" s="34"/>
      <c r="R68" s="59">
        <f>+I68-'2020-21'!I68</f>
        <v>1.1115716846849977E-2</v>
      </c>
      <c r="S68" s="60">
        <f>+I68/'2019-20'!I68-1</f>
        <v>-3.4970406188732372E-2</v>
      </c>
      <c r="T68" s="64"/>
      <c r="U68" s="52"/>
      <c r="V68" s="52"/>
      <c r="W68" s="52"/>
      <c r="X68" s="52"/>
      <c r="Y68" s="52"/>
      <c r="Z68" s="52"/>
      <c r="AA68" s="52"/>
    </row>
    <row r="69" spans="1:27" ht="15" customHeight="1" outlineLevel="4" x14ac:dyDescent="0.25">
      <c r="A69" s="55" t="s">
        <v>55</v>
      </c>
      <c r="B69" s="56">
        <f>('data from cereal masterfile'!K63+'data from cereal masterfile'!K65)*0.15</f>
        <v>7.3613873806998686</v>
      </c>
      <c r="C69" s="56">
        <v>6.1787873999999993E-2</v>
      </c>
      <c r="D69" s="56">
        <v>0.100713816</v>
      </c>
      <c r="E69" s="56">
        <f>B69+C69-D69</f>
        <v>7.322461438699869</v>
      </c>
      <c r="F69" s="56">
        <f>E69</f>
        <v>7.322461438699869</v>
      </c>
      <c r="G69" s="56">
        <f>IF(B69&gt;E69,F69,F69*(B69-D69)/E69)</f>
        <v>7.322461438699869</v>
      </c>
      <c r="H69" s="71">
        <v>0.155</v>
      </c>
      <c r="I69" s="58">
        <f>F69*H69</f>
        <v>1.1349815229984797</v>
      </c>
      <c r="J69" s="58">
        <f>G69*H69</f>
        <v>1.1349815229984797</v>
      </c>
      <c r="K69" s="26"/>
      <c r="L69" s="26"/>
      <c r="M69" s="6">
        <f t="shared" si="15"/>
        <v>2</v>
      </c>
      <c r="N69" s="52"/>
      <c r="O69" s="59">
        <f>+F69-'2019-20'!F69</f>
        <v>0.13157675586553896</v>
      </c>
      <c r="P69" s="60">
        <f>+F69/'2019-20'!F69-1</f>
        <v>1.8297714630250095E-2</v>
      </c>
      <c r="Q69" s="34"/>
      <c r="R69" s="59">
        <f>+I69-'2020-21'!I69</f>
        <v>1.4977626749999917E-2</v>
      </c>
      <c r="S69" s="60">
        <f>+I69/'2020-21'!I69-1</f>
        <v>1.3372834505458675E-2</v>
      </c>
      <c r="T69" s="64"/>
      <c r="U69" s="52"/>
      <c r="V69" s="72"/>
      <c r="W69" s="73"/>
      <c r="X69" s="73"/>
      <c r="Y69" s="73"/>
      <c r="Z69" s="74"/>
      <c r="AA69" s="74"/>
    </row>
    <row r="70" spans="1:27" ht="15.75" outlineLevel="4" x14ac:dyDescent="0.25">
      <c r="A70" s="55" t="s">
        <v>56</v>
      </c>
      <c r="B70" s="56">
        <v>0</v>
      </c>
      <c r="C70" s="56">
        <v>0.11996614099999998</v>
      </c>
      <c r="D70" s="56">
        <v>6.7959329999999988E-3</v>
      </c>
      <c r="E70" s="56">
        <f>B70+C70-D70</f>
        <v>0.11317020799999998</v>
      </c>
      <c r="F70" s="56">
        <f>E70</f>
        <v>0.11317020799999998</v>
      </c>
      <c r="G70" s="56">
        <f>IF(B70&gt;E70,F70,F70*B70/E70)</f>
        <v>0</v>
      </c>
      <c r="H70" s="57">
        <v>7.4999999999999997E-2</v>
      </c>
      <c r="I70" s="58">
        <f>F70*H70</f>
        <v>8.4877655999999989E-3</v>
      </c>
      <c r="J70" s="58">
        <f>G70*H70</f>
        <v>0</v>
      </c>
      <c r="K70" s="26"/>
      <c r="L70" s="26"/>
      <c r="M70" s="6">
        <f t="shared" si="15"/>
        <v>1</v>
      </c>
      <c r="N70" s="52"/>
      <c r="O70" s="59">
        <f>+F70-'2019-20'!F70</f>
        <v>-9.0603006E-2</v>
      </c>
      <c r="P70" s="60">
        <f>+F70/'2019-20'!F70-1</f>
        <v>-0.44462667208065931</v>
      </c>
      <c r="Q70" s="34"/>
      <c r="R70" s="59">
        <f>+I70-'2020-21'!I70</f>
        <v>-1.013235165E-2</v>
      </c>
      <c r="S70" s="60">
        <f>+I70/'2020-21'!I70-1</f>
        <v>-0.54416153851018312</v>
      </c>
      <c r="T70" s="64"/>
      <c r="U70" s="52"/>
      <c r="V70" s="72"/>
      <c r="W70" s="73"/>
      <c r="X70" s="72"/>
      <c r="Y70" s="75"/>
      <c r="Z70" s="76"/>
      <c r="AA70" s="74"/>
    </row>
    <row r="71" spans="1:27" ht="15" customHeight="1" outlineLevel="4" x14ac:dyDescent="0.25">
      <c r="A71" s="55" t="s">
        <v>57</v>
      </c>
      <c r="B71" s="56">
        <v>5.5738399999999997</v>
      </c>
      <c r="C71" s="56">
        <v>1.1030034640000002</v>
      </c>
      <c r="D71" s="56">
        <v>0.12625333999999999</v>
      </c>
      <c r="E71" s="56">
        <f>B71+C71-D71</f>
        <v>6.5505901240000002</v>
      </c>
      <c r="F71" s="56">
        <f>E71</f>
        <v>6.5505901240000002</v>
      </c>
      <c r="G71" s="56">
        <f>IF(B71&gt;E71,F71,F71*(B71-D71)/E71)</f>
        <v>5.4475866599999998</v>
      </c>
      <c r="H71" s="57">
        <v>7.9000000000000001E-2</v>
      </c>
      <c r="I71" s="58">
        <f>F71*H71</f>
        <v>0.51749661979600003</v>
      </c>
      <c r="J71" s="58">
        <f>G71*H71</f>
        <v>0.43035934613999999</v>
      </c>
      <c r="K71" s="26"/>
      <c r="L71" s="26"/>
      <c r="M71" s="6">
        <f t="shared" si="15"/>
        <v>1</v>
      </c>
      <c r="N71" s="52"/>
      <c r="O71" s="59">
        <f>+F71-'2019-20'!F71</f>
        <v>-0.7070066596200002</v>
      </c>
      <c r="P71" s="60">
        <f>+F71/'2019-20'!F71-1</f>
        <v>-9.7416084235442235E-2</v>
      </c>
      <c r="Q71" s="34"/>
      <c r="R71" s="59">
        <f>+I71-'2020-21'!I71</f>
        <v>5.3548546300008493E-4</v>
      </c>
      <c r="S71" s="60">
        <f>+I71/'2020-21'!I71-1</f>
        <v>1.0358331167215074E-3</v>
      </c>
      <c r="T71" s="64"/>
      <c r="U71" s="52"/>
      <c r="V71" s="52"/>
      <c r="W71" s="52"/>
      <c r="X71" s="52"/>
      <c r="Y71" s="52"/>
      <c r="Z71" s="52"/>
      <c r="AA71" s="52"/>
    </row>
    <row r="72" spans="1:27" ht="30" customHeight="1" outlineLevel="4" x14ac:dyDescent="0.25">
      <c r="A72" s="66" t="s">
        <v>58</v>
      </c>
      <c r="B72" s="67">
        <v>2.8895960000000001</v>
      </c>
      <c r="C72" s="67">
        <v>1.2362703899999998</v>
      </c>
      <c r="D72" s="67">
        <v>0.24953402399999999</v>
      </c>
      <c r="E72" s="67">
        <f>B72+C72-D72</f>
        <v>3.8763323659999998</v>
      </c>
      <c r="F72" s="67">
        <f>E72*0.32</f>
        <v>1.24042635712</v>
      </c>
      <c r="G72" s="67">
        <f>+IF(B72&gt;F72,F72,B72-D72)</f>
        <v>1.24042635712</v>
      </c>
      <c r="H72" s="77" t="s">
        <v>59</v>
      </c>
      <c r="I72" s="69">
        <f>G72*0.107+(F72-G72)*0.042</f>
        <v>0.13272562021184001</v>
      </c>
      <c r="J72" s="69">
        <f>G72*0.107</f>
        <v>0.13272562021184001</v>
      </c>
      <c r="K72" s="26"/>
      <c r="L72" s="26"/>
      <c r="M72" s="6">
        <v>1</v>
      </c>
      <c r="N72" s="52"/>
      <c r="O72" s="59">
        <f>+F72-'2019-20'!F72</f>
        <v>-8.4073478400960244E-2</v>
      </c>
      <c r="P72" s="70">
        <f>+F72/'2019-20'!F72-1</f>
        <v>-6.3475642764343587E-2</v>
      </c>
      <c r="Q72" s="34"/>
      <c r="R72" s="59">
        <f>+I72-'2020-21'!I72</f>
        <v>8.355276369280018E-3</v>
      </c>
      <c r="S72" s="70">
        <f>+I72/'2020-21'!I72-1</f>
        <v>6.7180616464781462E-2</v>
      </c>
      <c r="T72" s="64"/>
      <c r="U72" s="52"/>
      <c r="V72" s="52"/>
      <c r="W72" s="52"/>
      <c r="X72" s="52"/>
      <c r="Y72" s="52"/>
      <c r="Z72" s="52"/>
      <c r="AA72" s="52"/>
    </row>
    <row r="73" spans="1:27" ht="12.75" customHeight="1" x14ac:dyDescent="0.25">
      <c r="A73" s="20"/>
      <c r="B73" s="21"/>
      <c r="C73" s="21"/>
      <c r="D73" s="21"/>
      <c r="E73" s="21"/>
      <c r="F73" s="22"/>
      <c r="G73" s="22"/>
      <c r="H73" s="23"/>
      <c r="I73" s="24"/>
      <c r="J73" s="25"/>
      <c r="K73" s="26"/>
      <c r="L73" s="26"/>
      <c r="M73" s="6"/>
      <c r="N73" s="52"/>
      <c r="O73" s="36"/>
      <c r="P73" s="37"/>
      <c r="Q73" s="34"/>
      <c r="R73" s="36"/>
      <c r="S73" s="37"/>
      <c r="T73" s="35"/>
      <c r="U73" s="52"/>
      <c r="V73" s="52"/>
      <c r="W73" s="52"/>
      <c r="X73" s="52"/>
      <c r="Y73" s="52"/>
      <c r="Z73" s="52"/>
      <c r="AA73" s="52"/>
    </row>
    <row r="74" spans="1:27" ht="36.75" customHeight="1" x14ac:dyDescent="0.25">
      <c r="A74" s="27" t="s">
        <v>60</v>
      </c>
      <c r="B74" s="28"/>
      <c r="C74" s="28"/>
      <c r="D74" s="28"/>
      <c r="E74" s="28"/>
      <c r="F74" s="29">
        <f>SUM(F76:F80)</f>
        <v>5.7014303115666234</v>
      </c>
      <c r="G74" s="29">
        <f>SUM(G76:G80)</f>
        <v>5.5403544536223155</v>
      </c>
      <c r="H74" s="30"/>
      <c r="I74" s="30">
        <f>SUM(I76:I80)</f>
        <v>1.6518108296070064</v>
      </c>
      <c r="J74" s="30">
        <f>SUM(J76:J80)</f>
        <v>1.5496818246067026</v>
      </c>
      <c r="K74" s="31">
        <f>IF(I74=0,0,J74/I74)</f>
        <v>0.93817148842364595</v>
      </c>
      <c r="L74" s="31">
        <f>+I74/$I$89</f>
        <v>2.2966797637796778E-2</v>
      </c>
      <c r="M74" s="6"/>
      <c r="N74" s="52"/>
      <c r="O74" s="32">
        <f>+F74-'2019-20'!F74</f>
        <v>-1.4502174999999617E-2</v>
      </c>
      <c r="P74" s="33">
        <f>+F74/'2019-20'!F74-1</f>
        <v>-2.5371494562054231E-3</v>
      </c>
      <c r="Q74" s="34"/>
      <c r="R74" s="32">
        <f>+I74-'2020-21'!I74</f>
        <v>3.0256825299999957E-2</v>
      </c>
      <c r="S74" s="33">
        <f>+I74/'2020-21'!I74-1</f>
        <v>1.8659153638814985E-2</v>
      </c>
      <c r="T74" s="35"/>
      <c r="U74" s="52"/>
      <c r="V74" s="52"/>
      <c r="W74" s="52"/>
      <c r="X74" s="52"/>
      <c r="Y74" s="52"/>
      <c r="Z74" s="52"/>
      <c r="AA74" s="52"/>
    </row>
    <row r="75" spans="1:27" ht="14.25" customHeight="1" outlineLevel="1" x14ac:dyDescent="0.25">
      <c r="A75" s="20" t="s">
        <v>61</v>
      </c>
      <c r="B75" s="21"/>
      <c r="C75" s="21"/>
      <c r="D75" s="21"/>
      <c r="E75" s="21"/>
      <c r="F75" s="22"/>
      <c r="G75" s="22"/>
      <c r="H75" s="23"/>
      <c r="I75" s="24"/>
      <c r="J75" s="25"/>
      <c r="K75" s="26"/>
      <c r="L75" s="26"/>
      <c r="M75" s="6"/>
      <c r="N75" s="52"/>
      <c r="O75" s="36"/>
      <c r="P75" s="37"/>
      <c r="Q75" s="34"/>
      <c r="R75" s="36"/>
      <c r="S75" s="37"/>
      <c r="T75" s="35"/>
      <c r="U75" s="52"/>
      <c r="V75" s="52"/>
      <c r="W75" s="52"/>
      <c r="X75" s="52"/>
      <c r="Y75" s="52"/>
      <c r="Z75" s="52"/>
      <c r="AA75" s="52"/>
    </row>
    <row r="76" spans="1:27" ht="15" customHeight="1" outlineLevel="1" x14ac:dyDescent="0.25">
      <c r="A76" s="55" t="s">
        <v>62</v>
      </c>
      <c r="B76" s="56">
        <v>0.38600000000000001</v>
      </c>
      <c r="C76" s="56">
        <v>0.21437394200000001</v>
      </c>
      <c r="D76" s="56">
        <v>0.14849447899999998</v>
      </c>
      <c r="E76" s="56">
        <f>B76+C76-D76</f>
        <v>0.45187946300000004</v>
      </c>
      <c r="F76" s="56">
        <f>E76</f>
        <v>0.45187946300000004</v>
      </c>
      <c r="G76" s="56">
        <f>IF(B76&gt;E76,F76,F76*B76/E76)</f>
        <v>0.38600000000000001</v>
      </c>
      <c r="H76" s="65">
        <v>0.65</v>
      </c>
      <c r="I76" s="58">
        <f>F76*H76</f>
        <v>0.29372165095000002</v>
      </c>
      <c r="J76" s="58">
        <f>G76*H76</f>
        <v>0.25090000000000001</v>
      </c>
      <c r="K76" s="26"/>
      <c r="L76" s="26"/>
      <c r="M76" s="6">
        <f>+IF(H76&lt;15%,1,IF(H76&lt;30%,2,IF(H76&lt;50%,3,4)))</f>
        <v>4</v>
      </c>
      <c r="N76" s="52"/>
      <c r="O76" s="59">
        <f>+F76-'2019-20'!F76</f>
        <v>-1.4502175000000062E-2</v>
      </c>
      <c r="P76" s="60">
        <f>+F76/'2019-20'!F76-1</f>
        <v>-3.1095081406271152E-2</v>
      </c>
      <c r="Q76" s="34"/>
      <c r="R76" s="59">
        <f>+I76-'2020-21'!I76</f>
        <v>3.0256825299999957E-2</v>
      </c>
      <c r="S76" s="60">
        <f>+I76/'2020-21'!I76-1</f>
        <v>0.11484199162204156</v>
      </c>
      <c r="T76" s="34"/>
      <c r="U76" s="52"/>
      <c r="V76" s="52"/>
      <c r="W76" s="52"/>
      <c r="X76" s="52"/>
      <c r="Y76" s="52"/>
      <c r="Z76" s="52"/>
      <c r="AA76" s="52"/>
    </row>
    <row r="77" spans="1:27" ht="15.75" outlineLevel="1" x14ac:dyDescent="0.25">
      <c r="A77" s="55" t="s">
        <v>63</v>
      </c>
      <c r="B77" s="56">
        <v>2.1756808751066012</v>
      </c>
      <c r="C77" s="56">
        <v>8.4256127E-2</v>
      </c>
      <c r="D77" s="56">
        <v>0.72622293199999999</v>
      </c>
      <c r="E77" s="56">
        <f>B77+C77-D77</f>
        <v>1.5337140701066014</v>
      </c>
      <c r="F77" s="56">
        <v>0.57699999999999996</v>
      </c>
      <c r="G77" s="56">
        <f>+F77</f>
        <v>0.57699999999999996</v>
      </c>
      <c r="H77" s="57">
        <v>0.125</v>
      </c>
      <c r="I77" s="58">
        <f>F77*H77</f>
        <v>7.2124999999999995E-2</v>
      </c>
      <c r="J77" s="58">
        <f>G77*H77</f>
        <v>7.2124999999999995E-2</v>
      </c>
      <c r="K77" s="26"/>
      <c r="L77" s="26"/>
      <c r="M77" s="6">
        <f>+IF(H77&lt;15%,1,IF(H77&lt;30%,2,IF(H77&lt;50%,3,4)))</f>
        <v>1</v>
      </c>
      <c r="N77" s="52"/>
      <c r="O77" s="59">
        <f>+F77-'2019-20'!F77</f>
        <v>0</v>
      </c>
      <c r="P77" s="60">
        <f>+F77/'2019-20'!F77-1</f>
        <v>0</v>
      </c>
      <c r="Q77" s="34"/>
      <c r="R77" s="59">
        <f>+I77-'2020-21'!I77</f>
        <v>0</v>
      </c>
      <c r="S77" s="60">
        <f>+I77/'2020-21'!I77-1</f>
        <v>0</v>
      </c>
      <c r="T77" s="34"/>
      <c r="U77" s="52"/>
      <c r="V77" s="52"/>
      <c r="W77" s="52"/>
      <c r="X77" s="52"/>
      <c r="Y77" s="52"/>
      <c r="Z77" s="52"/>
      <c r="AA77" s="52"/>
    </row>
    <row r="78" spans="1:27" ht="15" customHeight="1" outlineLevel="1" x14ac:dyDescent="0.25">
      <c r="A78" s="55" t="s">
        <v>64</v>
      </c>
      <c r="B78" s="56">
        <v>1.401727330815</v>
      </c>
      <c r="C78" s="56">
        <v>3.2004805999999997E-2</v>
      </c>
      <c r="D78" s="56">
        <v>0.64291649699999998</v>
      </c>
      <c r="E78" s="56">
        <f>B78+C78-D78</f>
        <v>0.79081563981500003</v>
      </c>
      <c r="F78" s="56">
        <v>0.14499999999999999</v>
      </c>
      <c r="G78" s="56">
        <f>+F78</f>
        <v>0.14499999999999999</v>
      </c>
      <c r="H78" s="61">
        <v>0.34</v>
      </c>
      <c r="I78" s="58">
        <f>F78*H78</f>
        <v>4.9300000000000004E-2</v>
      </c>
      <c r="J78" s="58">
        <f>G78*H78</f>
        <v>4.9300000000000004E-2</v>
      </c>
      <c r="K78" s="26"/>
      <c r="L78" s="26"/>
      <c r="M78" s="6">
        <f>+IF(H78&lt;15%,1,IF(H78&lt;30%,2,IF(H78&lt;50%,3,4)))</f>
        <v>3</v>
      </c>
      <c r="N78" s="52"/>
      <c r="O78" s="59">
        <f>+F78-'2019-20'!F78</f>
        <v>0</v>
      </c>
      <c r="P78" s="60">
        <f>+F78/'2019-20'!F78-1</f>
        <v>0</v>
      </c>
      <c r="Q78" s="34"/>
      <c r="R78" s="59">
        <f>+I78-'2020-21'!I78</f>
        <v>0</v>
      </c>
      <c r="S78" s="60">
        <f>+I78/'2020-21'!I78-1</f>
        <v>0</v>
      </c>
      <c r="T78" s="34"/>
      <c r="U78" s="52"/>
      <c r="V78" s="52"/>
      <c r="W78" s="52"/>
      <c r="X78" s="52"/>
      <c r="Y78" s="52"/>
      <c r="Z78" s="52"/>
      <c r="AA78" s="52"/>
    </row>
    <row r="79" spans="1:27" ht="15" customHeight="1" outlineLevel="1" x14ac:dyDescent="0.25">
      <c r="A79" s="55" t="s">
        <v>65</v>
      </c>
      <c r="B79" s="56">
        <v>2.6832983356070965</v>
      </c>
      <c r="C79" s="56">
        <v>9.4453953999999993E-2</v>
      </c>
      <c r="D79" s="56">
        <v>1.05059704</v>
      </c>
      <c r="E79" s="56">
        <v>1.8521752764091519</v>
      </c>
      <c r="F79" s="56">
        <v>1.5275508485666232</v>
      </c>
      <c r="G79" s="56">
        <v>1.4323544536223152</v>
      </c>
      <c r="H79" s="65">
        <v>0.623</v>
      </c>
      <c r="I79" s="58">
        <f>F79*H79</f>
        <v>0.95166417865700625</v>
      </c>
      <c r="J79" s="58">
        <f>G79*H79</f>
        <v>0.8923568246067024</v>
      </c>
      <c r="K79" s="78"/>
      <c r="L79" s="78"/>
      <c r="M79" s="6">
        <f>+IF(H79&lt;15%,1,IF(H79&lt;30%,2,IF(H79&lt;50%,3,4)))</f>
        <v>4</v>
      </c>
      <c r="N79" s="52"/>
      <c r="O79" s="59">
        <f>+F79-'2019-20'!F79</f>
        <v>0</v>
      </c>
      <c r="P79" s="60">
        <f>+F79/'2019-20'!F79-1</f>
        <v>0</v>
      </c>
      <c r="Q79" s="34"/>
      <c r="R79" s="59">
        <f>+I79-'2020-21'!I79</f>
        <v>0</v>
      </c>
      <c r="S79" s="60">
        <f>+I79/'2020-21'!I79-1</f>
        <v>0</v>
      </c>
      <c r="T79" s="34"/>
      <c r="U79" s="52"/>
      <c r="V79" s="52"/>
      <c r="W79" s="52"/>
      <c r="X79" s="52"/>
      <c r="Y79" s="52"/>
      <c r="Z79" s="52"/>
      <c r="AA79" s="52"/>
    </row>
    <row r="80" spans="1:27" ht="15" customHeight="1" outlineLevel="1" x14ac:dyDescent="0.25">
      <c r="A80" s="55" t="s">
        <v>66</v>
      </c>
      <c r="B80" s="79"/>
      <c r="C80" s="79"/>
      <c r="D80" s="79"/>
      <c r="E80" s="79"/>
      <c r="F80" s="79">
        <v>3</v>
      </c>
      <c r="G80" s="79">
        <v>3</v>
      </c>
      <c r="H80" s="57">
        <f>0.095</f>
        <v>9.5000000000000001E-2</v>
      </c>
      <c r="I80" s="58">
        <f>F80*H80</f>
        <v>0.28500000000000003</v>
      </c>
      <c r="J80" s="58">
        <f>G80*H80</f>
        <v>0.28500000000000003</v>
      </c>
      <c r="K80" s="26"/>
      <c r="L80" s="26"/>
      <c r="M80" s="6">
        <f>+IF(H80&lt;15%,1,IF(H80&lt;30%,2,IF(H80&lt;50%,3,4)))</f>
        <v>1</v>
      </c>
      <c r="O80" s="59">
        <f>+F80-'2019-20'!F80</f>
        <v>0</v>
      </c>
      <c r="P80" s="60">
        <f>+F80/'2019-20'!F80-1</f>
        <v>0</v>
      </c>
      <c r="Q80" s="34"/>
      <c r="R80" s="59">
        <f>+I80-'2020-21'!I80</f>
        <v>0</v>
      </c>
      <c r="S80" s="60">
        <f>+I80/'2020-21'!I80-1</f>
        <v>0</v>
      </c>
      <c r="T80" s="34"/>
    </row>
    <row r="81" spans="1:27" ht="12.75" customHeight="1" x14ac:dyDescent="0.25">
      <c r="A81" s="80"/>
      <c r="B81" s="24"/>
      <c r="C81" s="24"/>
      <c r="D81" s="24"/>
      <c r="E81" s="24"/>
      <c r="F81" s="25"/>
      <c r="G81" s="25"/>
      <c r="H81" s="81"/>
      <c r="I81" s="24"/>
      <c r="J81" s="25"/>
      <c r="K81" s="26"/>
      <c r="L81" s="26"/>
      <c r="M81" s="6"/>
      <c r="O81" s="36"/>
      <c r="P81" s="37"/>
      <c r="Q81" s="34"/>
      <c r="R81" s="36"/>
      <c r="S81" s="37"/>
      <c r="T81" s="35"/>
    </row>
    <row r="82" spans="1:27" ht="35.25" customHeight="1" x14ac:dyDescent="0.25">
      <c r="A82" s="27" t="s">
        <v>67</v>
      </c>
      <c r="B82" s="28"/>
      <c r="C82" s="28"/>
      <c r="D82" s="28"/>
      <c r="E82" s="28"/>
      <c r="F82" s="82">
        <f>SUM(F84:F87)</f>
        <v>957.77955478171418</v>
      </c>
      <c r="G82" s="82">
        <f>SUM(G84:G87)</f>
        <v>957.77955478171418</v>
      </c>
      <c r="H82" s="30"/>
      <c r="I82" s="82">
        <f>SUM(I84:I87)</f>
        <v>29.872991118150239</v>
      </c>
      <c r="J82" s="82">
        <f>SUM(J84:J87)</f>
        <v>29.872991118150239</v>
      </c>
      <c r="K82" s="31">
        <f>IF(I82=0,0,J82/I82)</f>
        <v>1</v>
      </c>
      <c r="L82" s="31">
        <f>+I82/$I$89</f>
        <v>0.41535442772795517</v>
      </c>
      <c r="M82" s="6"/>
      <c r="O82" s="32">
        <f>+F82-'2019-20'!F82</f>
        <v>43.522359425142781</v>
      </c>
      <c r="P82" s="33">
        <f>+F82/'2019-20'!F82-1</f>
        <v>4.7604065514812222E-2</v>
      </c>
      <c r="Q82" s="34"/>
      <c r="R82" s="32">
        <f>+I82-'2020-21'!I82</f>
        <v>2.0956660410000438E-2</v>
      </c>
      <c r="S82" s="33">
        <f>+I82/'2020-21'!I82-1</f>
        <v>7.0201782862300277E-4</v>
      </c>
      <c r="T82" s="35"/>
    </row>
    <row r="83" spans="1:27" ht="7.5" customHeight="1" outlineLevel="1" x14ac:dyDescent="0.25">
      <c r="A83" s="83"/>
      <c r="B83" s="84"/>
      <c r="C83" s="84"/>
      <c r="D83" s="84"/>
      <c r="E83" s="84"/>
      <c r="F83" s="85"/>
      <c r="G83" s="85"/>
      <c r="H83" s="86"/>
      <c r="I83" s="87"/>
      <c r="J83" s="88"/>
      <c r="K83" s="89"/>
      <c r="L83" s="90"/>
      <c r="M83" s="6"/>
      <c r="N83" s="52"/>
      <c r="O83" s="91"/>
      <c r="P83" s="92"/>
      <c r="Q83" s="34"/>
      <c r="R83" s="91"/>
      <c r="S83" s="92"/>
      <c r="T83" s="35"/>
    </row>
    <row r="84" spans="1:27" ht="15" customHeight="1" outlineLevel="1" x14ac:dyDescent="0.25">
      <c r="A84" s="55" t="s">
        <v>68</v>
      </c>
      <c r="B84" s="79">
        <v>628.75894081603519</v>
      </c>
      <c r="C84" s="79"/>
      <c r="D84" s="79"/>
      <c r="E84" s="79">
        <f>+B84+C84-D84</f>
        <v>628.75894081603519</v>
      </c>
      <c r="F84" s="79">
        <f t="shared" ref="F84:G86" si="16">+E84</f>
        <v>628.75894081603519</v>
      </c>
      <c r="G84" s="79">
        <f t="shared" si="16"/>
        <v>628.75894081603519</v>
      </c>
      <c r="H84" s="57">
        <v>2.6066712037040814E-2</v>
      </c>
      <c r="I84" s="79">
        <f>+F84*H84</f>
        <v>16.389678250966377</v>
      </c>
      <c r="J84" s="79">
        <f>+H84*G84</f>
        <v>16.389678250966377</v>
      </c>
      <c r="K84" s="93"/>
      <c r="L84" s="93"/>
      <c r="M84" s="6">
        <f>+IF(H84&lt;15%,1,IF(H84&lt;30%,2,IF(H84&lt;50%,3,4)))</f>
        <v>1</v>
      </c>
      <c r="O84" s="59">
        <f>+F84-'2019-20'!F84</f>
        <v>35.475661353205055</v>
      </c>
      <c r="P84" s="60">
        <f>+F84/'2019-20'!F84-1</f>
        <v>5.9795484857293468E-2</v>
      </c>
      <c r="Q84" s="34"/>
      <c r="R84" s="59">
        <f>+I84-'2020-21'!I84</f>
        <v>0</v>
      </c>
      <c r="S84" s="60">
        <f>+I84/'2020-21'!I84-1</f>
        <v>0</v>
      </c>
      <c r="T84" s="34"/>
    </row>
    <row r="85" spans="1:27" s="96" customFormat="1" ht="15" customHeight="1" outlineLevel="1" x14ac:dyDescent="0.2">
      <c r="A85" s="55" t="s">
        <v>69</v>
      </c>
      <c r="B85" s="79">
        <v>243.5368</v>
      </c>
      <c r="C85" s="79"/>
      <c r="D85" s="79"/>
      <c r="E85" s="79">
        <f>+B85+C85-D85</f>
        <v>243.5368</v>
      </c>
      <c r="F85" s="79">
        <f t="shared" si="16"/>
        <v>243.5368</v>
      </c>
      <c r="G85" s="79">
        <f t="shared" si="16"/>
        <v>243.5368</v>
      </c>
      <c r="H85" s="57">
        <v>2.9487499999999996E-2</v>
      </c>
      <c r="I85" s="79">
        <f>+F85*H85</f>
        <v>7.1812913899999993</v>
      </c>
      <c r="J85" s="79">
        <f>+H85*G85</f>
        <v>7.1812913899999993</v>
      </c>
      <c r="K85" s="94"/>
      <c r="L85" s="94"/>
      <c r="M85" s="6">
        <f>+IF(H85&lt;15%,1,IF(H85&lt;30%,2,IF(H85&lt;50%,3,4)))</f>
        <v>1</v>
      </c>
      <c r="N85" s="95"/>
      <c r="O85" s="59">
        <f>+F85-'2019-20'!F85</f>
        <v>3.7340800000000058</v>
      </c>
      <c r="P85" s="60">
        <f>+F85/'2019-20'!F85-1</f>
        <v>1.5571466412057422E-2</v>
      </c>
      <c r="Q85" s="34"/>
      <c r="R85" s="59">
        <f>+I85-'2020-21'!I85</f>
        <v>0</v>
      </c>
      <c r="S85" s="60">
        <f>+I85/'2020-21'!I85-1</f>
        <v>0</v>
      </c>
      <c r="T85" s="34"/>
      <c r="U85" s="95"/>
      <c r="V85" s="95"/>
      <c r="W85" s="95"/>
      <c r="X85" s="95"/>
      <c r="Y85" s="95"/>
      <c r="Z85" s="95"/>
      <c r="AA85" s="95"/>
    </row>
    <row r="86" spans="1:27" ht="15" customHeight="1" outlineLevel="1" x14ac:dyDescent="0.25">
      <c r="A86" s="55" t="s">
        <v>70</v>
      </c>
      <c r="B86" s="79">
        <v>84.067690469679093</v>
      </c>
      <c r="C86" s="79"/>
      <c r="D86" s="79"/>
      <c r="E86" s="79">
        <f>+B86+C86-D86</f>
        <v>84.067690469679093</v>
      </c>
      <c r="F86" s="79">
        <f t="shared" si="16"/>
        <v>84.067690469679093</v>
      </c>
      <c r="G86" s="79">
        <f t="shared" si="16"/>
        <v>84.067690469679093</v>
      </c>
      <c r="H86" s="57">
        <v>7.2099999999999997E-2</v>
      </c>
      <c r="I86" s="79">
        <f>+F86*H86</f>
        <v>6.0612804828638627</v>
      </c>
      <c r="J86" s="79">
        <f>+H86*G86</f>
        <v>6.0612804828638627</v>
      </c>
      <c r="K86" s="94"/>
      <c r="L86" s="94"/>
      <c r="M86" s="6">
        <f>+IF(H86&lt;15%,1,IF(H86&lt;30%,2,IF(H86&lt;50%,3,4)))</f>
        <v>1</v>
      </c>
      <c r="O86" s="59">
        <f>+F86-'2019-20'!F86</f>
        <v>4.2757025039378647</v>
      </c>
      <c r="P86" s="60">
        <f>+F86/'2019-20'!F86-1</f>
        <v>5.3585611951085133E-2</v>
      </c>
      <c r="Q86" s="34"/>
      <c r="R86" s="59">
        <f>+I86-'2020-21'!I86</f>
        <v>0</v>
      </c>
      <c r="S86" s="60">
        <f>+I86/'2020-21'!I86-1</f>
        <v>0</v>
      </c>
      <c r="T86" s="34"/>
    </row>
    <row r="87" spans="1:27" ht="14.25" customHeight="1" outlineLevel="1" x14ac:dyDescent="0.25">
      <c r="A87" s="55" t="s">
        <v>71</v>
      </c>
      <c r="B87" s="56">
        <v>3.6283850000000002</v>
      </c>
      <c r="C87" s="56">
        <v>2.407991E-2</v>
      </c>
      <c r="D87" s="56">
        <v>2.236341414</v>
      </c>
      <c r="E87" s="56">
        <f>B87+C87-D87</f>
        <v>1.4161234960000004</v>
      </c>
      <c r="F87" s="56">
        <f>E87</f>
        <v>1.4161234960000004</v>
      </c>
      <c r="G87" s="56">
        <f>IF(B87&gt;E87,F87,F87*B87/E87)</f>
        <v>1.4161234960000004</v>
      </c>
      <c r="H87" s="71">
        <v>0.17</v>
      </c>
      <c r="I87" s="56">
        <f>F87*H87</f>
        <v>0.2407409943200001</v>
      </c>
      <c r="J87" s="56">
        <f>G87*H87</f>
        <v>0.2407409943200001</v>
      </c>
      <c r="K87" s="94"/>
      <c r="L87" s="94"/>
      <c r="M87" s="6">
        <f>+IF(H87&lt;15%,1,IF(H87&lt;30%,2,IF(H87&lt;50%,3,4)))</f>
        <v>2</v>
      </c>
      <c r="O87" s="59">
        <f>+F87-'2019-20'!F87</f>
        <v>3.691556799999951E-2</v>
      </c>
      <c r="P87" s="60">
        <f>+F87/'2019-20'!F87-1</f>
        <v>2.6765774217619942E-2</v>
      </c>
      <c r="Q87" s="34"/>
      <c r="R87" s="59">
        <f>+I87-'2020-21'!I87</f>
        <v>2.0956660409999994E-2</v>
      </c>
      <c r="S87" s="60">
        <f>+I87/'2020-21'!I87-1</f>
        <v>9.5351019962057748E-2</v>
      </c>
      <c r="T87" s="34"/>
    </row>
    <row r="88" spans="1:27" ht="12.75" customHeight="1" x14ac:dyDescent="0.25">
      <c r="A88" s="80"/>
      <c r="B88" s="21"/>
      <c r="C88" s="21"/>
      <c r="D88" s="21"/>
      <c r="E88" s="21"/>
      <c r="F88" s="22"/>
      <c r="G88" s="22"/>
      <c r="H88" s="23"/>
      <c r="I88" s="24"/>
      <c r="J88" s="25"/>
      <c r="K88" s="26"/>
      <c r="L88" s="26"/>
      <c r="M88" s="6"/>
      <c r="O88" s="36"/>
      <c r="P88" s="37"/>
      <c r="Q88" s="34"/>
      <c r="R88" s="36"/>
      <c r="S88" s="37"/>
      <c r="T88" s="34"/>
    </row>
    <row r="89" spans="1:27" ht="36.75" customHeight="1" x14ac:dyDescent="0.25">
      <c r="A89" s="27" t="s">
        <v>72</v>
      </c>
      <c r="B89" s="28"/>
      <c r="C89" s="28"/>
      <c r="D89" s="28"/>
      <c r="E89" s="28"/>
      <c r="F89" s="82"/>
      <c r="G89" s="82"/>
      <c r="H89" s="30"/>
      <c r="I89" s="82">
        <f>+I74+I82+I34+I6</f>
        <v>71.921686935082249</v>
      </c>
      <c r="J89" s="82">
        <f>+J74+J82+J34+J6</f>
        <v>55.342907405289687</v>
      </c>
      <c r="K89" s="31">
        <f>IF(I89=0,0,J89/I89)</f>
        <v>0.76948845005878608</v>
      </c>
      <c r="L89" s="31"/>
      <c r="M89" s="6"/>
      <c r="O89" s="32"/>
      <c r="P89" s="33"/>
      <c r="Q89" s="34"/>
      <c r="R89" s="32">
        <f>+I89-'2020-21'!I89</f>
        <v>2.7046286023988841E-2</v>
      </c>
      <c r="S89" s="33">
        <f>+I89/'2019-20'!I89-1</f>
        <v>1.966754803237758E-2</v>
      </c>
      <c r="T89" s="35"/>
    </row>
    <row r="90" spans="1:27" x14ac:dyDescent="0.25">
      <c r="A90" s="97" t="s">
        <v>73</v>
      </c>
      <c r="B90" s="98"/>
      <c r="C90" s="98"/>
      <c r="D90" s="98"/>
      <c r="E90" s="98"/>
      <c r="F90" s="98"/>
      <c r="G90" s="98"/>
      <c r="H90" s="99"/>
      <c r="I90" s="5"/>
      <c r="J90" s="5"/>
      <c r="K90" s="5"/>
      <c r="L90" s="5"/>
      <c r="M90" s="6"/>
      <c r="O90" s="74"/>
      <c r="P90" s="52"/>
    </row>
    <row r="91" spans="1:27" x14ac:dyDescent="0.25">
      <c r="A91" s="100" t="s">
        <v>74</v>
      </c>
      <c r="B91" s="101"/>
      <c r="C91" s="102"/>
      <c r="D91" s="102"/>
      <c r="E91" s="103"/>
      <c r="F91" s="103"/>
      <c r="G91" s="103"/>
      <c r="H91" s="104">
        <v>1</v>
      </c>
      <c r="I91" s="105">
        <f t="shared" ref="I91:J94" si="17">+SUMIF($M$7:$M$89,$H91,I$7:I$89)</f>
        <v>46.443569635677328</v>
      </c>
      <c r="J91" s="105">
        <f t="shared" si="17"/>
        <v>44.830662552474536</v>
      </c>
      <c r="K91" s="106">
        <f>+J91/I91</f>
        <v>0.96527168140056618</v>
      </c>
      <c r="L91" s="5"/>
      <c r="M91" s="6"/>
      <c r="O91" s="74"/>
      <c r="P91" s="52"/>
      <c r="R91" s="59">
        <f>+I91-'2019-20'!I91</f>
        <v>1.1465717689032076</v>
      </c>
      <c r="S91" s="60">
        <f>+I91/'2019-20'!I91-1</f>
        <v>2.5312312579201413E-2</v>
      </c>
    </row>
    <row r="92" spans="1:27" x14ac:dyDescent="0.25">
      <c r="A92" s="107" t="s">
        <v>75</v>
      </c>
      <c r="B92" s="108"/>
      <c r="C92" s="109"/>
      <c r="D92" s="109"/>
      <c r="E92" s="110"/>
      <c r="F92" s="110"/>
      <c r="G92" s="110"/>
      <c r="H92" s="111">
        <v>2</v>
      </c>
      <c r="I92" s="112">
        <f t="shared" si="17"/>
        <v>3.9517067010697486</v>
      </c>
      <c r="J92" s="112">
        <f t="shared" si="17"/>
        <v>3.4954183863034514</v>
      </c>
      <c r="K92" s="113">
        <f>+J92/I92</f>
        <v>0.88453386111808918</v>
      </c>
      <c r="L92" s="5"/>
      <c r="M92" s="6"/>
      <c r="O92" s="74"/>
      <c r="P92" s="52"/>
      <c r="R92" s="59">
        <f>+I92-'2019-20'!I92</f>
        <v>0.13967691354917422</v>
      </c>
      <c r="S92" s="60">
        <f>+I92/'2019-20'!I92-1</f>
        <v>3.6641086595502026E-2</v>
      </c>
    </row>
    <row r="93" spans="1:27" x14ac:dyDescent="0.25">
      <c r="A93" s="114" t="s">
        <v>76</v>
      </c>
      <c r="B93" s="110"/>
      <c r="C93" s="110"/>
      <c r="D93" s="110"/>
      <c r="E93" s="110"/>
      <c r="F93" s="110"/>
      <c r="G93" s="110"/>
      <c r="H93" s="115">
        <v>3</v>
      </c>
      <c r="I93" s="112">
        <f t="shared" si="17"/>
        <v>19.448199800033553</v>
      </c>
      <c r="J93" s="112">
        <f t="shared" si="17"/>
        <v>5.2282446732103933</v>
      </c>
      <c r="K93" s="113">
        <f>+J93/I93</f>
        <v>0.2688292349403657</v>
      </c>
      <c r="L93" s="5"/>
      <c r="M93" s="6"/>
      <c r="O93" s="74"/>
      <c r="P93" s="52"/>
      <c r="R93" s="59">
        <f>+I93-'2019-20'!I93</f>
        <v>1.2092763475600066E-2</v>
      </c>
      <c r="S93" s="60">
        <f>+I93/'2019-20'!I93-1</f>
        <v>6.2218032926319999E-4</v>
      </c>
    </row>
    <row r="94" spans="1:27" x14ac:dyDescent="0.25">
      <c r="A94" s="116" t="s">
        <v>77</v>
      </c>
      <c r="B94" s="117"/>
      <c r="C94" s="117"/>
      <c r="D94" s="117"/>
      <c r="E94" s="117"/>
      <c r="F94" s="117"/>
      <c r="G94" s="117"/>
      <c r="H94" s="118">
        <v>4</v>
      </c>
      <c r="I94" s="119">
        <f t="shared" si="17"/>
        <v>1.9438858296070063</v>
      </c>
      <c r="J94" s="119">
        <f t="shared" si="17"/>
        <v>1.6542568246067024</v>
      </c>
      <c r="K94" s="120">
        <f>+J94/I94</f>
        <v>0.85100513590406801</v>
      </c>
      <c r="L94" s="5"/>
      <c r="M94" s="6"/>
      <c r="O94" s="74"/>
      <c r="P94" s="52"/>
      <c r="R94" s="59">
        <f>+I94-'2019-20'!I94</f>
        <v>1.8724526387392748E-2</v>
      </c>
      <c r="S94" s="60">
        <f>+I94/'2019-20'!I94-1</f>
        <v>9.7262116977305801E-3</v>
      </c>
    </row>
    <row r="95" spans="1:27" ht="25.5" customHeight="1" x14ac:dyDescent="0.25">
      <c r="A95" s="303" t="s">
        <v>78</v>
      </c>
      <c r="B95" s="304"/>
      <c r="C95" s="304"/>
      <c r="D95" s="304"/>
      <c r="E95" s="304"/>
      <c r="F95" s="304"/>
      <c r="G95" s="304"/>
      <c r="H95" s="304"/>
      <c r="I95" s="304"/>
      <c r="J95" s="304"/>
      <c r="K95" s="304"/>
      <c r="L95" s="304"/>
      <c r="M95" s="6"/>
      <c r="R95" s="5"/>
      <c r="S95" s="5"/>
    </row>
    <row r="96" spans="1:27" x14ac:dyDescent="0.25">
      <c r="A96" s="5"/>
      <c r="B96" s="98"/>
      <c r="C96" s="98"/>
      <c r="D96" s="98"/>
      <c r="E96" s="98"/>
      <c r="F96" s="98"/>
      <c r="G96" s="98"/>
      <c r="H96" s="99"/>
      <c r="I96" s="5"/>
      <c r="J96" s="5"/>
      <c r="K96" s="5"/>
      <c r="L96" s="5"/>
      <c r="M96" s="6"/>
      <c r="R96" s="5"/>
      <c r="S96" s="5"/>
    </row>
  </sheetData>
  <mergeCells count="6">
    <mergeCell ref="R3:S3"/>
    <mergeCell ref="A95:L95"/>
    <mergeCell ref="B3:G3"/>
    <mergeCell ref="H3:H4"/>
    <mergeCell ref="I3:J3"/>
    <mergeCell ref="O3:P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A96"/>
  <sheetViews>
    <sheetView zoomScale="70" zoomScaleNormal="70" workbookViewId="0"/>
  </sheetViews>
  <sheetFormatPr defaultRowHeight="15" outlineLevelRow="4" outlineLevelCol="1" x14ac:dyDescent="0.25"/>
  <cols>
    <col min="1" max="1" width="46.42578125" customWidth="1"/>
    <col min="2" max="2" width="12.7109375" style="121" customWidth="1" outlineLevel="1"/>
    <col min="3" max="3" width="10.28515625" style="121" customWidth="1" outlineLevel="1"/>
    <col min="4" max="4" width="10.85546875" style="121" customWidth="1" outlineLevel="1"/>
    <col min="5" max="5" width="13.140625" style="121" customWidth="1" outlineLevel="1"/>
    <col min="6" max="6" width="13.5703125" style="121" customWidth="1"/>
    <col min="7" max="7" width="14.85546875" style="121" customWidth="1"/>
    <col min="8" max="8" width="11.140625" style="122" customWidth="1"/>
    <col min="9" max="11" width="12.28515625" customWidth="1"/>
    <col min="12" max="12" width="13.28515625" customWidth="1"/>
    <col min="13" max="13" width="5.5703125" style="123" customWidth="1"/>
    <col min="14" max="14" width="0" hidden="1" customWidth="1"/>
    <col min="15" max="15" width="12.42578125" style="7" hidden="1" customWidth="1"/>
    <col min="16" max="16" width="12.42578125" hidden="1" customWidth="1"/>
    <col min="17" max="17" width="0" style="5" hidden="1" customWidth="1"/>
    <col min="18" max="19" width="10.5703125" bestFit="1" customWidth="1"/>
    <col min="20" max="20" width="8.7109375" style="5"/>
  </cols>
  <sheetData>
    <row r="1" spans="1:20" ht="15.75" x14ac:dyDescent="0.25">
      <c r="A1" s="1" t="str">
        <f>"Updated on " &amp; TEXT(Updates!B2,"[$-0809]dd mmm yyyy")</f>
        <v>Updated on 11 Nov 2022</v>
      </c>
      <c r="B1" s="2"/>
      <c r="C1" s="2"/>
      <c r="D1" s="2"/>
      <c r="E1" s="2"/>
      <c r="F1" s="2"/>
      <c r="G1" s="2"/>
      <c r="H1" s="3"/>
      <c r="I1" s="4"/>
      <c r="J1" s="4"/>
      <c r="K1" s="4"/>
      <c r="L1" s="5"/>
      <c r="M1" s="6"/>
      <c r="R1" s="5"/>
      <c r="S1" s="5"/>
    </row>
    <row r="2" spans="1:20" ht="45" x14ac:dyDescent="0.25">
      <c r="A2" s="8" t="s">
        <v>80</v>
      </c>
      <c r="B2" s="9"/>
      <c r="C2" s="9"/>
      <c r="D2" s="9"/>
      <c r="E2" s="9"/>
      <c r="F2" s="9"/>
      <c r="G2" s="9"/>
      <c r="H2" s="9"/>
      <c r="I2" s="9"/>
      <c r="J2" s="9"/>
      <c r="K2" s="9"/>
      <c r="L2" s="5"/>
      <c r="M2" s="6"/>
      <c r="R2" s="5"/>
      <c r="S2" s="5"/>
    </row>
    <row r="3" spans="1:20" ht="44.25" customHeight="1" x14ac:dyDescent="0.25">
      <c r="A3" s="10" t="s">
        <v>79</v>
      </c>
      <c r="B3" s="305" t="s">
        <v>2</v>
      </c>
      <c r="C3" s="306"/>
      <c r="D3" s="306"/>
      <c r="E3" s="306"/>
      <c r="F3" s="306"/>
      <c r="G3" s="307"/>
      <c r="H3" s="308" t="s">
        <v>3</v>
      </c>
      <c r="I3" s="301" t="s">
        <v>4</v>
      </c>
      <c r="J3" s="302"/>
      <c r="K3" s="11"/>
      <c r="L3" s="12"/>
      <c r="M3" s="13"/>
      <c r="O3" s="301" t="s">
        <v>5</v>
      </c>
      <c r="P3" s="302"/>
      <c r="R3" s="301" t="str">
        <f>+I3</f>
        <v>Million tonnes 
 (crude protein)</v>
      </c>
      <c r="S3" s="302"/>
    </row>
    <row r="4" spans="1:20" ht="50.25" customHeight="1" x14ac:dyDescent="0.25">
      <c r="A4" s="14" t="s">
        <v>6</v>
      </c>
      <c r="B4" s="15" t="s">
        <v>7</v>
      </c>
      <c r="C4" s="15" t="s">
        <v>8</v>
      </c>
      <c r="D4" s="16" t="s">
        <v>9</v>
      </c>
      <c r="E4" s="16" t="s">
        <v>10</v>
      </c>
      <c r="F4" s="16" t="s">
        <v>11</v>
      </c>
      <c r="G4" s="16" t="s">
        <v>12</v>
      </c>
      <c r="H4" s="309"/>
      <c r="I4" s="17" t="s">
        <v>13</v>
      </c>
      <c r="J4" s="17" t="s">
        <v>14</v>
      </c>
      <c r="K4" s="16" t="s">
        <v>15</v>
      </c>
      <c r="L4" s="15" t="s">
        <v>16</v>
      </c>
      <c r="M4" s="13"/>
      <c r="O4" s="18" t="s">
        <v>17</v>
      </c>
      <c r="P4" s="19" t="s">
        <v>17</v>
      </c>
      <c r="R4" s="18" t="s">
        <v>17</v>
      </c>
      <c r="S4" s="19" t="s">
        <v>17</v>
      </c>
    </row>
    <row r="5" spans="1:20" ht="7.5" customHeight="1" x14ac:dyDescent="0.25">
      <c r="A5" s="20"/>
      <c r="B5" s="21"/>
      <c r="C5" s="21"/>
      <c r="D5" s="21"/>
      <c r="E5" s="21"/>
      <c r="F5" s="22"/>
      <c r="G5" s="22"/>
      <c r="H5" s="23"/>
      <c r="I5" s="24"/>
      <c r="J5" s="25"/>
      <c r="K5" s="26"/>
      <c r="L5" s="26"/>
      <c r="M5" s="6"/>
    </row>
    <row r="6" spans="1:20" ht="36" customHeight="1" x14ac:dyDescent="0.25">
      <c r="A6" s="27" t="s">
        <v>18</v>
      </c>
      <c r="B6" s="28"/>
      <c r="C6" s="28"/>
      <c r="D6" s="28"/>
      <c r="E6" s="28"/>
      <c r="F6" s="29">
        <f>F9+F21+F27</f>
        <v>167.64425984190419</v>
      </c>
      <c r="G6" s="29">
        <f>G9+G21+G27</f>
        <v>151.89380972212797</v>
      </c>
      <c r="H6" s="30"/>
      <c r="I6" s="30">
        <f>I9+I21+I27</f>
        <v>16.98943624472324</v>
      </c>
      <c r="J6" s="30">
        <f>J9+J21+J27</f>
        <v>15.574927997852425</v>
      </c>
      <c r="K6" s="31">
        <f>J6/I6</f>
        <v>0.91674189617032475</v>
      </c>
      <c r="L6" s="31">
        <f>+I6/$I$89</f>
        <v>0.23631019073666909</v>
      </c>
      <c r="M6" s="6"/>
      <c r="O6" s="32">
        <f>+F6-'2019-20'!F6</f>
        <v>0.26759501626000315</v>
      </c>
      <c r="P6" s="33">
        <f>+F6/'2019-20'!F6-1</f>
        <v>1.598759400175398E-3</v>
      </c>
      <c r="Q6" s="34"/>
      <c r="R6" s="32">
        <f>+I6-'2019-20'!I6</f>
        <v>0.27723169284029581</v>
      </c>
      <c r="S6" s="33">
        <f>+I6/'2019-20'!I6-1</f>
        <v>1.6588577047368602E-2</v>
      </c>
      <c r="T6" s="35"/>
    </row>
    <row r="7" spans="1:20" ht="7.5" customHeight="1" x14ac:dyDescent="0.25">
      <c r="A7" s="20"/>
      <c r="B7" s="21"/>
      <c r="C7" s="21"/>
      <c r="D7" s="21"/>
      <c r="E7" s="21"/>
      <c r="F7" s="22"/>
      <c r="G7" s="22"/>
      <c r="H7" s="23"/>
      <c r="I7" s="24"/>
      <c r="J7" s="25"/>
      <c r="K7" s="26"/>
      <c r="L7" s="26"/>
      <c r="M7" s="6"/>
      <c r="O7" s="36"/>
      <c r="P7" s="37"/>
      <c r="Q7" s="34"/>
      <c r="R7" s="36"/>
      <c r="S7" s="37"/>
      <c r="T7" s="35"/>
    </row>
    <row r="8" spans="1:20" ht="8.25" hidden="1" customHeight="1" x14ac:dyDescent="0.25">
      <c r="A8" s="38"/>
      <c r="B8" s="39"/>
      <c r="C8" s="39"/>
      <c r="D8" s="39"/>
      <c r="E8" s="39"/>
      <c r="F8" s="40"/>
      <c r="G8" s="40"/>
      <c r="H8" s="41"/>
      <c r="I8" s="42"/>
      <c r="J8" s="43"/>
      <c r="K8" s="44"/>
      <c r="L8" s="45"/>
      <c r="M8" s="6"/>
      <c r="O8" s="46">
        <f>+F8-'2019-20'!F8</f>
        <v>0</v>
      </c>
      <c r="P8" s="47" t="e">
        <f>+F8/'2019-20'!F8-1</f>
        <v>#DIV/0!</v>
      </c>
      <c r="Q8" s="34"/>
      <c r="R8" s="46">
        <f>+I8-'2019-20'!I8</f>
        <v>0</v>
      </c>
      <c r="S8" s="47" t="e">
        <f>+I8/'2019-20'!I8-1</f>
        <v>#DIV/0!</v>
      </c>
      <c r="T8" s="35"/>
    </row>
    <row r="9" spans="1:20" ht="22.5" customHeight="1" outlineLevel="1" x14ac:dyDescent="0.25">
      <c r="A9" s="48" t="s">
        <v>19</v>
      </c>
      <c r="B9" s="49">
        <f>SUM(B11:B19)</f>
        <v>280.2539225437053</v>
      </c>
      <c r="C9" s="49">
        <f t="shared" ref="C9:J9" si="0">SUM(C11:C19)</f>
        <v>21.052556866000003</v>
      </c>
      <c r="D9" s="49">
        <f t="shared" si="0"/>
        <v>42.910189075000005</v>
      </c>
      <c r="E9" s="49">
        <f t="shared" si="0"/>
        <v>258.39629033470527</v>
      </c>
      <c r="F9" s="49">
        <f t="shared" si="0"/>
        <v>162.50000000000003</v>
      </c>
      <c r="G9" s="49">
        <f t="shared" si="0"/>
        <v>147.18767580973514</v>
      </c>
      <c r="H9" s="50"/>
      <c r="I9" s="50">
        <f t="shared" si="0"/>
        <v>15.617999999999999</v>
      </c>
      <c r="J9" s="50">
        <f t="shared" si="0"/>
        <v>14.324808195692</v>
      </c>
      <c r="K9" s="51">
        <f>J9/I9</f>
        <v>0.91719862951030873</v>
      </c>
      <c r="L9" s="51">
        <f>+I9/$I$89</f>
        <v>0.21723455126838551</v>
      </c>
      <c r="M9" s="6"/>
      <c r="N9" s="52"/>
      <c r="O9" s="53">
        <f>+F9-'2019-20'!F9</f>
        <v>-0.52999999999997272</v>
      </c>
      <c r="P9" s="54">
        <f>+F9/'2019-20'!F9-1</f>
        <v>-3.2509354106604604E-3</v>
      </c>
      <c r="Q9" s="34"/>
      <c r="R9" s="53">
        <f>+I9-'2019-20'!I9</f>
        <v>6.8699999999999761E-2</v>
      </c>
      <c r="S9" s="54">
        <f>+I9/'2019-20'!I9-1</f>
        <v>4.4182053211399008E-3</v>
      </c>
      <c r="T9" s="35"/>
    </row>
    <row r="10" spans="1:20" ht="7.5" customHeight="1" outlineLevel="1" x14ac:dyDescent="0.25">
      <c r="A10" s="20"/>
      <c r="B10" s="21"/>
      <c r="C10" s="21"/>
      <c r="D10" s="21"/>
      <c r="E10" s="21"/>
      <c r="F10" s="22"/>
      <c r="G10" s="22"/>
      <c r="H10" s="23"/>
      <c r="I10" s="24"/>
      <c r="J10" s="25"/>
      <c r="K10" s="26"/>
      <c r="L10" s="26"/>
      <c r="M10" s="6"/>
      <c r="N10" s="52"/>
      <c r="O10" s="36"/>
      <c r="P10" s="37"/>
      <c r="Q10" s="34"/>
      <c r="R10" s="36"/>
      <c r="S10" s="37"/>
      <c r="T10" s="35"/>
    </row>
    <row r="11" spans="1:20" ht="15" customHeight="1" outlineLevel="1" x14ac:dyDescent="0.25">
      <c r="A11" s="55" t="str">
        <f>+'data from cereal masterfile'!A3</f>
        <v>Common  wheat</v>
      </c>
      <c r="B11" s="56">
        <f>+'data from cereal masterfile'!K3</f>
        <v>118.062711448</v>
      </c>
      <c r="C11" s="56">
        <f>+'data from cereal masterfile'!K15</f>
        <v>2.0212944749999999</v>
      </c>
      <c r="D11" s="56">
        <f>+'data from cereal masterfile'!K27</f>
        <v>27.401202697000002</v>
      </c>
      <c r="E11" s="56">
        <f>+B11+C11-D11</f>
        <v>92.682803226000004</v>
      </c>
      <c r="F11" s="56">
        <f>+'data from cereal masterfile'!K39</f>
        <v>38.200000000000003</v>
      </c>
      <c r="G11" s="56">
        <f>IF(B11&gt;E11,F11,F11*B11/E11)-C11</f>
        <v>36.178705525000005</v>
      </c>
      <c r="H11" s="57">
        <v>0.11</v>
      </c>
      <c r="I11" s="58">
        <f>F11*H11</f>
        <v>4.202</v>
      </c>
      <c r="J11" s="58">
        <f>G11*H11</f>
        <v>3.9796576077500005</v>
      </c>
      <c r="K11" s="26"/>
      <c r="L11" s="26"/>
      <c r="M11" s="6">
        <f>+IF(H11&lt;15%,1,IF(H11&lt;30%,2,IF(H11&lt;50%,3,4)))</f>
        <v>1</v>
      </c>
      <c r="N11" s="52"/>
      <c r="O11" s="59">
        <f>+F11-'2019-20'!F11</f>
        <v>-2.2999999999999972</v>
      </c>
      <c r="P11" s="60">
        <f>+F11/'2019-20'!F11-1</f>
        <v>-5.679012345679002E-2</v>
      </c>
      <c r="Q11" s="34"/>
      <c r="R11" s="59">
        <f>+I11-'2019-20'!I11</f>
        <v>-0.25300000000000011</v>
      </c>
      <c r="S11" s="60">
        <f>+I11/'2019-20'!I11-1</f>
        <v>-5.6790123456790131E-2</v>
      </c>
      <c r="T11" s="35"/>
    </row>
    <row r="12" spans="1:20" ht="15" customHeight="1" outlineLevel="1" x14ac:dyDescent="0.25">
      <c r="A12" s="55" t="str">
        <f>+'data from cereal masterfile'!A4</f>
        <v>Barley</v>
      </c>
      <c r="B12" s="56">
        <f>+'data from cereal masterfile'!K4</f>
        <v>53.947633979999999</v>
      </c>
      <c r="C12" s="56">
        <f>+'data from cereal masterfile'!K16</f>
        <v>1.2493223259999999</v>
      </c>
      <c r="D12" s="56">
        <f>+'data from cereal masterfile'!K28</f>
        <v>10.646667451999999</v>
      </c>
      <c r="E12" s="56">
        <f t="shared" ref="E12:E19" si="1">+B12+C12-D12</f>
        <v>44.550288854000001</v>
      </c>
      <c r="F12" s="56">
        <f>+'data from cereal masterfile'!K40</f>
        <v>35.6</v>
      </c>
      <c r="G12" s="56">
        <f>IF(B12&gt;E12,F12,F12*B12/E12)</f>
        <v>35.6</v>
      </c>
      <c r="H12" s="57">
        <v>0.1</v>
      </c>
      <c r="I12" s="58">
        <f t="shared" ref="I12:I19" si="2">F12*H12</f>
        <v>3.5600000000000005</v>
      </c>
      <c r="J12" s="58">
        <f t="shared" ref="J12:J19" si="3">G12*H12</f>
        <v>3.5600000000000005</v>
      </c>
      <c r="K12" s="26"/>
      <c r="L12" s="26"/>
      <c r="M12" s="6">
        <f t="shared" ref="M12:M19" si="4">+IF(H12&lt;15%,1,IF(H12&lt;30%,2,IF(H12&lt;50%,3,4)))</f>
        <v>1</v>
      </c>
      <c r="N12" s="52"/>
      <c r="O12" s="59">
        <f>+F12-'2019-20'!F12</f>
        <v>1.1000000000000014</v>
      </c>
      <c r="P12" s="60">
        <f>+F12/'2019-20'!F12-1</f>
        <v>3.1884057971014457E-2</v>
      </c>
      <c r="Q12" s="34"/>
      <c r="R12" s="59">
        <f>+I12-'2019-20'!I12</f>
        <v>0.11000000000000032</v>
      </c>
      <c r="S12" s="60">
        <f>+I12/'2019-20'!I12-1</f>
        <v>3.1884057971014679E-2</v>
      </c>
      <c r="T12" s="35"/>
    </row>
    <row r="13" spans="1:20" ht="15" customHeight="1" outlineLevel="1" x14ac:dyDescent="0.25">
      <c r="A13" s="55" t="str">
        <f>+'data from cereal masterfile'!A5</f>
        <v>Durum</v>
      </c>
      <c r="B13" s="56">
        <f>+'data from cereal masterfile'!K5</f>
        <v>7.3417139900000006</v>
      </c>
      <c r="C13" s="56">
        <f>+'data from cereal masterfile'!K17</f>
        <v>2.9320418399999997</v>
      </c>
      <c r="D13" s="56">
        <f>+'data from cereal masterfile'!K29</f>
        <v>0.82834148199999991</v>
      </c>
      <c r="E13" s="56">
        <f t="shared" si="1"/>
        <v>9.4454143479999999</v>
      </c>
      <c r="F13" s="56">
        <f>+'data from cereal masterfile'!K41</f>
        <v>0.4</v>
      </c>
      <c r="G13" s="56">
        <f>IF(B13&gt;E13,F13,F13*B13/E13)</f>
        <v>0.3109112515134736</v>
      </c>
      <c r="H13" s="57">
        <v>0.12</v>
      </c>
      <c r="I13" s="58">
        <f t="shared" si="2"/>
        <v>4.8000000000000001E-2</v>
      </c>
      <c r="J13" s="58">
        <f t="shared" si="3"/>
        <v>3.7309350181616831E-2</v>
      </c>
      <c r="K13" s="26"/>
      <c r="L13" s="26"/>
      <c r="M13" s="6">
        <f t="shared" si="4"/>
        <v>1</v>
      </c>
      <c r="N13" s="52"/>
      <c r="O13" s="59">
        <f>+F13-'2019-20'!F13</f>
        <v>0</v>
      </c>
      <c r="P13" s="60">
        <f>+F13/'2019-20'!F13-1</f>
        <v>0</v>
      </c>
      <c r="Q13" s="34"/>
      <c r="R13" s="59">
        <f>+I13-'2019-20'!I13</f>
        <v>0</v>
      </c>
      <c r="S13" s="60">
        <f>+I13/'2019-20'!I13-1</f>
        <v>0</v>
      </c>
      <c r="T13" s="35"/>
    </row>
    <row r="14" spans="1:20" ht="15" customHeight="1" outlineLevel="1" x14ac:dyDescent="0.25">
      <c r="A14" s="55" t="str">
        <f>+'data from cereal masterfile'!A6</f>
        <v>Maize</v>
      </c>
      <c r="B14" s="56">
        <f>+'data from cereal masterfile'!K6</f>
        <v>67.123283162000007</v>
      </c>
      <c r="C14" s="56">
        <f>+'data from cereal masterfile'!K18</f>
        <v>14.520546078000001</v>
      </c>
      <c r="D14" s="56">
        <f>+'data from cereal masterfile'!K30</f>
        <v>3.6727687950000001</v>
      </c>
      <c r="E14" s="56">
        <f t="shared" si="1"/>
        <v>77.971060445000006</v>
      </c>
      <c r="F14" s="56">
        <f>+'data from cereal masterfile'!K42</f>
        <v>63.5</v>
      </c>
      <c r="G14" s="56">
        <f>F14-C14*0.9</f>
        <v>50.431508529799999</v>
      </c>
      <c r="H14" s="57">
        <v>0.08</v>
      </c>
      <c r="I14" s="58">
        <f t="shared" si="2"/>
        <v>5.08</v>
      </c>
      <c r="J14" s="58">
        <f t="shared" si="3"/>
        <v>4.0345206823839996</v>
      </c>
      <c r="K14" s="26"/>
      <c r="L14" s="26"/>
      <c r="M14" s="6">
        <f t="shared" si="4"/>
        <v>1</v>
      </c>
      <c r="N14" s="52"/>
      <c r="O14" s="59">
        <f>+F14-'2019-20'!F14</f>
        <v>-4.5999999999999943</v>
      </c>
      <c r="P14" s="60">
        <f>+F14/'2019-20'!F14-1</f>
        <v>-6.7547723935389103E-2</v>
      </c>
      <c r="Q14" s="34"/>
      <c r="R14" s="59">
        <f>+I14-'2019-20'!I14</f>
        <v>-0.36799999999999944</v>
      </c>
      <c r="S14" s="60">
        <f>+I14/'2019-20'!I14-1</f>
        <v>-6.7547723935388992E-2</v>
      </c>
      <c r="T14" s="35"/>
    </row>
    <row r="15" spans="1:20" ht="15" customHeight="1" outlineLevel="1" x14ac:dyDescent="0.25">
      <c r="A15" s="55" t="str">
        <f>+'data from cereal masterfile'!A7</f>
        <v>Rye</v>
      </c>
      <c r="B15" s="56">
        <f>+'data from cereal masterfile'!K7</f>
        <v>8.7393921057497028</v>
      </c>
      <c r="C15" s="56">
        <f>+'data from cereal masterfile'!K19</f>
        <v>8.6693850000000003E-2</v>
      </c>
      <c r="D15" s="56">
        <f>+'data from cereal masterfile'!K31</f>
        <v>0.17423354800000002</v>
      </c>
      <c r="E15" s="56">
        <f t="shared" si="1"/>
        <v>8.6518524077497023</v>
      </c>
      <c r="F15" s="56">
        <f>+'data from cereal masterfile'!K43</f>
        <v>3.8</v>
      </c>
      <c r="G15" s="56">
        <f>IF(B15&gt;E15,F15,F15*B15/(B15+C15-D15))</f>
        <v>3.8</v>
      </c>
      <c r="H15" s="57">
        <v>0.11</v>
      </c>
      <c r="I15" s="58">
        <f t="shared" si="2"/>
        <v>0.41799999999999998</v>
      </c>
      <c r="J15" s="58">
        <f t="shared" si="3"/>
        <v>0.41799999999999998</v>
      </c>
      <c r="K15" s="26"/>
      <c r="L15" s="26"/>
      <c r="M15" s="6">
        <f t="shared" si="4"/>
        <v>1</v>
      </c>
      <c r="N15" s="52"/>
      <c r="O15" s="59">
        <f>+F15-'2019-20'!F15</f>
        <v>1.2199999999999998</v>
      </c>
      <c r="P15" s="60">
        <f>+F15/'2019-20'!F15-1</f>
        <v>0.47286821705426352</v>
      </c>
      <c r="Q15" s="34"/>
      <c r="R15" s="59">
        <f>+I15-'2019-20'!I15</f>
        <v>0.13419999999999999</v>
      </c>
      <c r="S15" s="60">
        <f>+I15/'2019-20'!I15-1</f>
        <v>0.47286821705426352</v>
      </c>
      <c r="T15" s="35"/>
    </row>
    <row r="16" spans="1:20" ht="15" customHeight="1" outlineLevel="1" x14ac:dyDescent="0.25">
      <c r="A16" s="55" t="str">
        <f>+'data from cereal masterfile'!A8</f>
        <v>Sorghum</v>
      </c>
      <c r="B16" s="56">
        <f>+'data from cereal masterfile'!K8</f>
        <v>1.0696334999999999</v>
      </c>
      <c r="C16" s="56">
        <f>+'data from cereal masterfile'!K20</f>
        <v>1.4908889E-2</v>
      </c>
      <c r="D16" s="56">
        <f>+'data from cereal masterfile'!K32</f>
        <v>1.7989961999999998E-2</v>
      </c>
      <c r="E16" s="56">
        <f t="shared" si="1"/>
        <v>1.066552427</v>
      </c>
      <c r="F16" s="56">
        <f>+'data from cereal masterfile'!K44</f>
        <v>1.4</v>
      </c>
      <c r="G16" s="56">
        <f>IF(B16&gt;E16,F16,F16*B16/(B16+C16-D16))</f>
        <v>1.4</v>
      </c>
      <c r="H16" s="57">
        <v>0.11</v>
      </c>
      <c r="I16" s="58">
        <f t="shared" si="2"/>
        <v>0.154</v>
      </c>
      <c r="J16" s="58">
        <f t="shared" si="3"/>
        <v>0.154</v>
      </c>
      <c r="K16" s="26"/>
      <c r="L16" s="26"/>
      <c r="M16" s="6">
        <f t="shared" si="4"/>
        <v>1</v>
      </c>
      <c r="N16" s="52"/>
      <c r="O16" s="59">
        <f>+F16-'2019-20'!F16</f>
        <v>0.95</v>
      </c>
      <c r="P16" s="60">
        <f>+F16/'2019-20'!F16-1</f>
        <v>2.1111111111111112</v>
      </c>
      <c r="Q16" s="34"/>
      <c r="R16" s="59">
        <f>+I16-'2019-20'!I16</f>
        <v>0.10450000000000001</v>
      </c>
      <c r="S16" s="60">
        <f>+I16/'2019-20'!I16-1</f>
        <v>2.1111111111111112</v>
      </c>
      <c r="T16" s="35"/>
    </row>
    <row r="17" spans="1:27" ht="15" customHeight="1" outlineLevel="1" x14ac:dyDescent="0.25">
      <c r="A17" s="55" t="str">
        <f>+'data from cereal masterfile'!A9</f>
        <v>Oats</v>
      </c>
      <c r="B17" s="56">
        <f>+'data from cereal masterfile'!K9</f>
        <v>8.3991220599999981</v>
      </c>
      <c r="C17" s="56">
        <f>+'data from cereal masterfile'!K21</f>
        <v>4.8966660999999995E-2</v>
      </c>
      <c r="D17" s="56">
        <f>+'data from cereal masterfile'!K33</f>
        <v>0.13960508199999999</v>
      </c>
      <c r="E17" s="56">
        <f t="shared" si="1"/>
        <v>8.3084836389999985</v>
      </c>
      <c r="F17" s="56">
        <f>+'data from cereal masterfile'!K45</f>
        <v>5.8</v>
      </c>
      <c r="G17" s="56">
        <f>IF(B17&gt;E17,F17,F17*B17/(B17+C17-D17))</f>
        <v>5.8</v>
      </c>
      <c r="H17" s="57">
        <v>0.11</v>
      </c>
      <c r="I17" s="58">
        <f t="shared" si="2"/>
        <v>0.63800000000000001</v>
      </c>
      <c r="J17" s="58">
        <f t="shared" si="3"/>
        <v>0.63800000000000001</v>
      </c>
      <c r="K17" s="26"/>
      <c r="L17" s="26"/>
      <c r="M17" s="6">
        <f t="shared" si="4"/>
        <v>1</v>
      </c>
      <c r="N17" s="52"/>
      <c r="O17" s="59">
        <f>+F17-'2019-20'!F17</f>
        <v>0.70000000000000018</v>
      </c>
      <c r="P17" s="60">
        <f>+F17/'2019-20'!F17-1</f>
        <v>0.13725490196078427</v>
      </c>
      <c r="Q17" s="34"/>
      <c r="R17" s="59">
        <f>+I17-'2019-20'!I17</f>
        <v>7.7000000000000068E-2</v>
      </c>
      <c r="S17" s="60">
        <f>+I17/'2019-20'!I17-1</f>
        <v>0.13725490196078449</v>
      </c>
      <c r="T17" s="35"/>
    </row>
    <row r="18" spans="1:27" ht="15" customHeight="1" outlineLevel="1" x14ac:dyDescent="0.25">
      <c r="A18" s="55" t="str">
        <f>+'data from cereal masterfile'!A10</f>
        <v>Triticale</v>
      </c>
      <c r="B18" s="56">
        <f>+'data from cereal masterfile'!K10</f>
        <v>12.097904000000003</v>
      </c>
      <c r="C18" s="56">
        <f>+'data from cereal masterfile'!K22</f>
        <v>1.5620900000000004E-4</v>
      </c>
      <c r="D18" s="56">
        <f>+'data from cereal masterfile'!K34</f>
        <v>6.9642940000000011E-3</v>
      </c>
      <c r="E18" s="56">
        <f t="shared" si="1"/>
        <v>12.091095915000004</v>
      </c>
      <c r="F18" s="56">
        <f>+'data from cereal masterfile'!K46</f>
        <v>10.7</v>
      </c>
      <c r="G18" s="56">
        <f>IF(B18&gt;E18,F18,F18*B18/(B18+C18-D18))</f>
        <v>10.7</v>
      </c>
      <c r="H18" s="57">
        <v>0.11</v>
      </c>
      <c r="I18" s="58">
        <f t="shared" si="2"/>
        <v>1.1769999999999998</v>
      </c>
      <c r="J18" s="58">
        <f t="shared" si="3"/>
        <v>1.1769999999999998</v>
      </c>
      <c r="K18" s="26"/>
      <c r="L18" s="26"/>
      <c r="M18" s="6">
        <f t="shared" si="4"/>
        <v>1</v>
      </c>
      <c r="N18" s="52"/>
      <c r="O18" s="59">
        <f>+F18-'2019-20'!F18</f>
        <v>2.5999999999999996</v>
      </c>
      <c r="P18" s="60">
        <f>+F18/'2019-20'!F18-1</f>
        <v>0.32098765432098753</v>
      </c>
      <c r="Q18" s="34"/>
      <c r="R18" s="59">
        <f>+I18-'2019-20'!I18</f>
        <v>0.28599999999999981</v>
      </c>
      <c r="S18" s="60">
        <f>+I18/'2019-20'!I18-1</f>
        <v>0.32098765432098753</v>
      </c>
      <c r="T18" s="35"/>
    </row>
    <row r="19" spans="1:27" ht="15" customHeight="1" outlineLevel="1" x14ac:dyDescent="0.25">
      <c r="A19" s="55" t="str">
        <f>+'data from cereal masterfile'!A11</f>
        <v>Others</v>
      </c>
      <c r="B19" s="56">
        <f>+'data from cereal masterfile'!K11</f>
        <v>3.4725282979555532</v>
      </c>
      <c r="C19" s="56">
        <f>+'data from cereal masterfile'!K23</f>
        <v>0.178626538</v>
      </c>
      <c r="D19" s="56">
        <f>+'data from cereal masterfile'!K35</f>
        <v>2.2415763000000002E-2</v>
      </c>
      <c r="E19" s="56">
        <f t="shared" si="1"/>
        <v>3.6287390729555531</v>
      </c>
      <c r="F19" s="56">
        <f>+'data from cereal masterfile'!K47</f>
        <v>3.1</v>
      </c>
      <c r="G19" s="56">
        <f>IF(B19&gt;E19,F19,F19*B19/(B19+C19-D19))</f>
        <v>2.9665505034216797</v>
      </c>
      <c r="H19" s="57">
        <v>0.11</v>
      </c>
      <c r="I19" s="58">
        <f t="shared" si="2"/>
        <v>0.34100000000000003</v>
      </c>
      <c r="J19" s="58">
        <f t="shared" si="3"/>
        <v>0.32632055537638477</v>
      </c>
      <c r="K19" s="26"/>
      <c r="L19" s="26"/>
      <c r="M19" s="6">
        <f t="shared" si="4"/>
        <v>1</v>
      </c>
      <c r="N19" s="52"/>
      <c r="O19" s="59">
        <f>+F19-'2019-20'!F19</f>
        <v>-0.19999999999999973</v>
      </c>
      <c r="P19" s="60">
        <f>+F19/'2019-20'!F19-1</f>
        <v>-6.0606060606060552E-2</v>
      </c>
      <c r="Q19" s="34"/>
      <c r="R19" s="59">
        <f>+I19-'2019-20'!I19</f>
        <v>-2.1999999999999964E-2</v>
      </c>
      <c r="S19" s="60">
        <f>+I19/'2019-20'!I19-1</f>
        <v>-6.0606060606060552E-2</v>
      </c>
      <c r="T19" s="35"/>
    </row>
    <row r="20" spans="1:27" ht="12.75" customHeight="1" outlineLevel="1" x14ac:dyDescent="0.25">
      <c r="A20" s="20"/>
      <c r="B20" s="21"/>
      <c r="C20" s="21"/>
      <c r="D20" s="21"/>
      <c r="E20" s="21"/>
      <c r="F20" s="22"/>
      <c r="G20" s="22"/>
      <c r="H20" s="23"/>
      <c r="I20" s="24"/>
      <c r="J20" s="25"/>
      <c r="K20" s="26"/>
      <c r="L20" s="26"/>
      <c r="M20" s="6"/>
      <c r="N20" s="52"/>
      <c r="O20" s="36"/>
      <c r="P20" s="37"/>
      <c r="Q20" s="34"/>
      <c r="R20" s="36"/>
      <c r="S20" s="37"/>
      <c r="T20" s="35"/>
    </row>
    <row r="21" spans="1:27" ht="22.5" customHeight="1" outlineLevel="1" x14ac:dyDescent="0.25">
      <c r="A21" s="48" t="s">
        <v>20</v>
      </c>
      <c r="B21" s="49">
        <f t="shared" ref="B21:G21" si="5">SUM(B23:B25)</f>
        <v>28.311070000000001</v>
      </c>
      <c r="C21" s="49">
        <f t="shared" si="5"/>
        <v>21.643988801000003</v>
      </c>
      <c r="D21" s="49">
        <f t="shared" si="5"/>
        <v>1.0410480020000001</v>
      </c>
      <c r="E21" s="49">
        <f t="shared" si="5"/>
        <v>48.914010798999996</v>
      </c>
      <c r="F21" s="49">
        <f t="shared" si="5"/>
        <v>1.5469412</v>
      </c>
      <c r="G21" s="49">
        <f t="shared" si="5"/>
        <v>1.5469412</v>
      </c>
      <c r="H21" s="50"/>
      <c r="I21" s="50">
        <f>SUM(I23:I25)</f>
        <v>0.45404154348000003</v>
      </c>
      <c r="J21" s="50">
        <f>SUM(J23:J25)</f>
        <v>0.45404154348000003</v>
      </c>
      <c r="K21" s="51">
        <f>J21/I21</f>
        <v>1</v>
      </c>
      <c r="L21" s="51">
        <f>+I21/$I$89</f>
        <v>6.3153739886722344E-3</v>
      </c>
      <c r="M21" s="6"/>
      <c r="N21" s="52"/>
      <c r="O21" s="53">
        <f>+F21-'2019-20'!F21</f>
        <v>-1.1738000000000026E-2</v>
      </c>
      <c r="P21" s="54">
        <f>+F21/'2019-20'!F21-1</f>
        <v>-7.5307349966561299E-3</v>
      </c>
      <c r="Q21" s="34"/>
      <c r="R21" s="53">
        <f>+I21-'2019-20'!I21</f>
        <v>-1.2101977199999725E-3</v>
      </c>
      <c r="S21" s="54">
        <f>+I21/'2019-20'!I21-1</f>
        <v>-2.6583044291275115E-3</v>
      </c>
      <c r="T21" s="35"/>
    </row>
    <row r="22" spans="1:27" ht="14.25" customHeight="1" outlineLevel="1" x14ac:dyDescent="0.25">
      <c r="A22" s="20" t="s">
        <v>21</v>
      </c>
      <c r="B22" s="21"/>
      <c r="C22" s="21"/>
      <c r="D22" s="21"/>
      <c r="E22" s="21"/>
      <c r="F22" s="22"/>
      <c r="G22" s="22"/>
      <c r="H22" s="23"/>
      <c r="I22" s="24"/>
      <c r="J22" s="25"/>
      <c r="K22" s="26"/>
      <c r="L22" s="26"/>
      <c r="M22" s="6"/>
      <c r="N22" s="52"/>
      <c r="O22" s="36"/>
      <c r="P22" s="37"/>
      <c r="Q22" s="34"/>
      <c r="R22" s="36"/>
      <c r="S22" s="37"/>
      <c r="T22" s="35"/>
    </row>
    <row r="23" spans="1:27" ht="15" customHeight="1" outlineLevel="1" x14ac:dyDescent="0.25">
      <c r="A23" s="55" t="s">
        <v>22</v>
      </c>
      <c r="B23" s="56">
        <f>+'data from oilseed masterfile'!Y4</f>
        <v>2.61707</v>
      </c>
      <c r="C23" s="56">
        <f>+'data from oilseed masterfile'!Y12</f>
        <v>15.029538881000001</v>
      </c>
      <c r="D23" s="56">
        <f>+'data from oilseed masterfile'!Y16</f>
        <v>0.19716351300000001</v>
      </c>
      <c r="E23" s="56">
        <f>+B23+C23-D23</f>
        <v>17.449445367999999</v>
      </c>
      <c r="F23" s="56">
        <v>1.2</v>
      </c>
      <c r="G23" s="56">
        <f>F23</f>
        <v>1.2</v>
      </c>
      <c r="H23" s="61">
        <v>0.33</v>
      </c>
      <c r="I23" s="58">
        <f>F23*H23</f>
        <v>0.39600000000000002</v>
      </c>
      <c r="J23" s="58">
        <f>G23*H23</f>
        <v>0.39600000000000002</v>
      </c>
      <c r="K23" s="26"/>
      <c r="L23" s="26"/>
      <c r="M23" s="6">
        <f>+IF(H23&lt;15%,1,IF(H23&lt;30%,2,IF(H23&lt;50%,3,4)))</f>
        <v>3</v>
      </c>
      <c r="N23" s="52"/>
      <c r="O23" s="59">
        <f>+F23-'2019-20'!F23</f>
        <v>0</v>
      </c>
      <c r="P23" s="60">
        <f>+F23/'2019-20'!F23-1</f>
        <v>0</v>
      </c>
      <c r="Q23" s="34"/>
      <c r="R23" s="59">
        <f>+I23-'2019-20'!I23</f>
        <v>0</v>
      </c>
      <c r="S23" s="60">
        <f>+I23/'2019-20'!I23-1</f>
        <v>0</v>
      </c>
      <c r="T23" s="35"/>
    </row>
    <row r="24" spans="1:27" ht="15" customHeight="1" outlineLevel="1" x14ac:dyDescent="0.25">
      <c r="A24" s="55" t="s">
        <v>23</v>
      </c>
      <c r="B24" s="56">
        <f>+'data from oilseed masterfile'!Y5</f>
        <v>16.69388</v>
      </c>
      <c r="C24" s="56">
        <f>+'data from oilseed masterfile'!Y13</f>
        <v>5.7965793170000008</v>
      </c>
      <c r="D24" s="56">
        <f>+'data from oilseed masterfile'!Y17</f>
        <v>0.17310378000000001</v>
      </c>
      <c r="E24" s="56">
        <f>+B24+C24-D24</f>
        <v>22.317355537000001</v>
      </c>
      <c r="F24" s="56">
        <f>+B24*1%</f>
        <v>0.1669388</v>
      </c>
      <c r="G24" s="56">
        <f>F24</f>
        <v>0.1669388</v>
      </c>
      <c r="H24" s="62">
        <f>H47*0.57</f>
        <v>0.18809999999999999</v>
      </c>
      <c r="I24" s="58">
        <f>F24*H24</f>
        <v>3.1401188279999999E-2</v>
      </c>
      <c r="J24" s="58">
        <f>G24*H24</f>
        <v>3.1401188279999999E-2</v>
      </c>
      <c r="K24" s="26"/>
      <c r="L24" s="26"/>
      <c r="M24" s="6">
        <f>+IF(H24&lt;15%,1,IF(H24&lt;30%,2,IF(H24&lt;50%,3,4)))</f>
        <v>2</v>
      </c>
      <c r="N24" s="52"/>
      <c r="O24" s="59">
        <f>+F24-'2019-20'!F24</f>
        <v>1.3142799999999982E-2</v>
      </c>
      <c r="P24" s="60">
        <f>+F24/'2019-20'!F24-1</f>
        <v>8.5456058675128066E-2</v>
      </c>
      <c r="Q24" s="34"/>
      <c r="R24" s="59">
        <f>+I24-'2019-20'!I24</f>
        <v>2.4721606799999983E-3</v>
      </c>
      <c r="S24" s="60">
        <f>+I24/'2019-20'!I24-1</f>
        <v>8.5456058675128066E-2</v>
      </c>
      <c r="T24" s="35"/>
    </row>
    <row r="25" spans="1:27" ht="15" customHeight="1" outlineLevel="1" x14ac:dyDescent="0.25">
      <c r="A25" s="55" t="s">
        <v>24</v>
      </c>
      <c r="B25" s="56">
        <f>+'data from oilseed masterfile'!Y6</f>
        <v>9.0001200000000008</v>
      </c>
      <c r="C25" s="56">
        <f>+'data from oilseed masterfile'!Y14</f>
        <v>0.81787060299999992</v>
      </c>
      <c r="D25" s="56">
        <f>+'data from oilseed masterfile'!Y18</f>
        <v>0.6707807090000002</v>
      </c>
      <c r="E25" s="56">
        <f>+B25+C25-D25</f>
        <v>9.1472098939999995</v>
      </c>
      <c r="F25" s="56">
        <f>+B25*2%</f>
        <v>0.18000240000000001</v>
      </c>
      <c r="G25" s="56">
        <f>F25</f>
        <v>0.18000240000000001</v>
      </c>
      <c r="H25" s="57">
        <v>0.14799999999999999</v>
      </c>
      <c r="I25" s="58">
        <f>F25*H25</f>
        <v>2.66403552E-2</v>
      </c>
      <c r="J25" s="58">
        <f>G25*H25</f>
        <v>2.66403552E-2</v>
      </c>
      <c r="K25" s="26"/>
      <c r="L25" s="26"/>
      <c r="M25" s="6">
        <f>+IF(H25&lt;15%,1,IF(H25&lt;30%,2,IF(H25&lt;50%,3,4)))</f>
        <v>1</v>
      </c>
      <c r="N25" s="52"/>
      <c r="O25" s="59">
        <f>+F25-'2019-20'!F25</f>
        <v>-2.4880799999999981E-2</v>
      </c>
      <c r="P25" s="60">
        <f>+F25/'2019-20'!F25-1</f>
        <v>-0.121438946677912</v>
      </c>
      <c r="Q25" s="34"/>
      <c r="R25" s="59">
        <f>+I25-'2019-20'!I25</f>
        <v>-3.6823583999999951E-3</v>
      </c>
      <c r="S25" s="60">
        <f>+I25/'2019-20'!I25-1</f>
        <v>-0.121438946677912</v>
      </c>
      <c r="T25" s="35"/>
    </row>
    <row r="26" spans="1:27" ht="12.75" customHeight="1" outlineLevel="1" x14ac:dyDescent="0.25">
      <c r="A26" s="20"/>
      <c r="B26" s="21"/>
      <c r="C26" s="21"/>
      <c r="D26" s="21"/>
      <c r="E26" s="21"/>
      <c r="F26" s="22"/>
      <c r="G26" s="22"/>
      <c r="H26" s="23"/>
      <c r="I26" s="24"/>
      <c r="J26" s="25"/>
      <c r="K26" s="26"/>
      <c r="L26" s="26"/>
      <c r="M26" s="6"/>
      <c r="N26" s="52"/>
      <c r="O26" s="36"/>
      <c r="P26" s="37"/>
      <c r="Q26" s="34"/>
      <c r="R26" s="36"/>
      <c r="S26" s="37"/>
      <c r="T26" s="35"/>
    </row>
    <row r="27" spans="1:27" ht="20.25" customHeight="1" outlineLevel="1" x14ac:dyDescent="0.25">
      <c r="A27" s="48" t="s">
        <v>25</v>
      </c>
      <c r="B27" s="49">
        <f>SUM(B29:B32)</f>
        <v>4.1917900000000001</v>
      </c>
      <c r="C27" s="49">
        <f t="shared" ref="C27:G27" si="6">SUM(C29:C32)</f>
        <v>1.2377230240000001</v>
      </c>
      <c r="D27" s="49">
        <f t="shared" si="6"/>
        <v>0.57799317500000003</v>
      </c>
      <c r="E27" s="49">
        <f t="shared" si="6"/>
        <v>4.8515198489999998</v>
      </c>
      <c r="F27" s="49">
        <f t="shared" si="6"/>
        <v>3.5973186419041747</v>
      </c>
      <c r="G27" s="49">
        <f t="shared" si="6"/>
        <v>3.1591927123928283</v>
      </c>
      <c r="H27" s="50"/>
      <c r="I27" s="50">
        <f>SUM(I29:I32)</f>
        <v>0.91739470124324374</v>
      </c>
      <c r="J27" s="50">
        <f>SUM(J29:J32)</f>
        <v>0.79607825868042381</v>
      </c>
      <c r="K27" s="51">
        <f>J27/I27</f>
        <v>0.86775981766799704</v>
      </c>
      <c r="L27" s="51">
        <f>+I27/$I$89</f>
        <v>1.2760265479611387E-2</v>
      </c>
      <c r="M27" s="6"/>
      <c r="N27" s="52"/>
      <c r="O27" s="53">
        <f>+F27-'2019-20'!F27</f>
        <v>0.80933301625999965</v>
      </c>
      <c r="P27" s="54">
        <f>+F27/'2019-20'!F27-1</f>
        <v>0.29029310941049058</v>
      </c>
      <c r="Q27" s="34"/>
      <c r="R27" s="53">
        <f>+I27-'2019-20'!I27</f>
        <v>0.20974189056030001</v>
      </c>
      <c r="S27" s="54">
        <f>+I27/'2019-20'!I27-1</f>
        <v>0.29639095244726255</v>
      </c>
      <c r="T27" s="35"/>
    </row>
    <row r="28" spans="1:27" ht="7.5" customHeight="1" outlineLevel="1" x14ac:dyDescent="0.25">
      <c r="A28" s="20"/>
      <c r="B28" s="21"/>
      <c r="C28" s="21"/>
      <c r="D28" s="21"/>
      <c r="E28" s="21"/>
      <c r="F28" s="22"/>
      <c r="G28" s="22"/>
      <c r="H28" s="23"/>
      <c r="I28" s="24"/>
      <c r="J28" s="25"/>
      <c r="K28" s="26"/>
      <c r="L28" s="26"/>
      <c r="M28" s="6"/>
      <c r="N28" s="52"/>
      <c r="O28" s="36"/>
      <c r="P28" s="37"/>
      <c r="Q28" s="34"/>
      <c r="R28" s="36"/>
      <c r="S28" s="37"/>
      <c r="T28" s="35"/>
    </row>
    <row r="29" spans="1:27" ht="15" customHeight="1" outlineLevel="1" x14ac:dyDescent="0.25">
      <c r="A29" s="55" t="s">
        <v>26</v>
      </c>
      <c r="B29" s="56">
        <f>'data from protein balance sheet'!K4</f>
        <v>1.9902099999999998</v>
      </c>
      <c r="C29" s="56">
        <f>'data from protein balance sheet'!K20</f>
        <v>0.57360546300000015</v>
      </c>
      <c r="D29" s="56">
        <f>'data from protein balance sheet'!K28</f>
        <v>0.227601251</v>
      </c>
      <c r="E29" s="56">
        <f>'data from protein balance sheet'!K12</f>
        <v>2.3362142119999998</v>
      </c>
      <c r="F29" s="56">
        <f>'data from protein balance sheet'!K36</f>
        <v>1.73</v>
      </c>
      <c r="G29" s="56">
        <f>IF(B29&gt;E29,F29,F29*B29/E29)</f>
        <v>1.473778937870788</v>
      </c>
      <c r="H29" s="63">
        <v>0.22500000000000001</v>
      </c>
      <c r="I29" s="58">
        <f>F29*H29</f>
        <v>0.38924999999999998</v>
      </c>
      <c r="J29" s="58">
        <f>G29*H29</f>
        <v>0.33160026102092732</v>
      </c>
      <c r="K29" s="26"/>
      <c r="L29" s="26"/>
      <c r="M29" s="6">
        <f>+IF(H29&lt;15%,1,IF(H29&lt;30%,2,IF(H29&lt;50%,3,4)))</f>
        <v>2</v>
      </c>
      <c r="N29" s="52"/>
      <c r="O29" s="59">
        <f>+F29-'2019-20'!F29</f>
        <v>0.33492121129999974</v>
      </c>
      <c r="P29" s="60">
        <f>+F29/'2019-20'!F29-1</f>
        <v>0.24007333063396019</v>
      </c>
      <c r="Q29" s="34"/>
      <c r="R29" s="59">
        <f>+I29-'2019-20'!I29</f>
        <v>7.5357272542499909E-2</v>
      </c>
      <c r="S29" s="60">
        <f>+I29/'2019-20'!I29-1</f>
        <v>0.24007333063395997</v>
      </c>
      <c r="T29" s="35"/>
    </row>
    <row r="30" spans="1:27" ht="15" customHeight="1" outlineLevel="1" x14ac:dyDescent="0.25">
      <c r="A30" s="55" t="s">
        <v>27</v>
      </c>
      <c r="B30" s="56">
        <f>'data from protein balance sheet'!K5</f>
        <v>1.2559299999999998</v>
      </c>
      <c r="C30" s="56">
        <f>'data from protein balance sheet'!K21</f>
        <v>8.2154631999999991E-2</v>
      </c>
      <c r="D30" s="56">
        <f>'data from protein balance sheet'!K29</f>
        <v>0.32906158700000004</v>
      </c>
      <c r="E30" s="56">
        <f>'data from protein balance sheet'!K13</f>
        <v>1.0090230449999997</v>
      </c>
      <c r="F30" s="56">
        <f>'data from protein balance sheet'!K37</f>
        <v>0.88313585711999998</v>
      </c>
      <c r="G30" s="56">
        <f>IF(B30&gt;E30,F30,F30*B30/E30)</f>
        <v>0.88313585711999998</v>
      </c>
      <c r="H30" s="63">
        <v>0.26</v>
      </c>
      <c r="I30" s="58">
        <f>F30*H30</f>
        <v>0.22961532285120001</v>
      </c>
      <c r="J30" s="58">
        <f>G30*H30</f>
        <v>0.22961532285120001</v>
      </c>
      <c r="K30" s="26"/>
      <c r="L30" s="26"/>
      <c r="M30" s="6">
        <f>+IF(H30&lt;15%,1,IF(H30&lt;30%,2,IF(H30&lt;50%,3,4)))</f>
        <v>2</v>
      </c>
      <c r="N30" s="52"/>
      <c r="O30" s="59">
        <f>+F30-'2019-20'!F30</f>
        <v>0.12650490798000014</v>
      </c>
      <c r="P30" s="60">
        <f>+F30/'2019-20'!F30-1</f>
        <v>0.16719499529299964</v>
      </c>
      <c r="Q30" s="34"/>
      <c r="R30" s="59">
        <f>+I30-'2019-20'!I30</f>
        <v>3.2891276074800052E-2</v>
      </c>
      <c r="S30" s="60">
        <f>+I30/'2019-20'!I30-1</f>
        <v>0.16719499529299964</v>
      </c>
      <c r="T30" s="35"/>
    </row>
    <row r="31" spans="1:27" ht="15" customHeight="1" outlineLevel="1" x14ac:dyDescent="0.25">
      <c r="A31" s="55" t="s">
        <v>28</v>
      </c>
      <c r="B31" s="56">
        <f>'data from protein balance sheet'!K7</f>
        <v>0.34627999999999998</v>
      </c>
      <c r="C31" s="56">
        <f>'data from protein balance sheet'!K23</f>
        <v>0.183858204</v>
      </c>
      <c r="D31" s="56">
        <f>'data from protein balance sheet'!K31</f>
        <v>1.7739900000000004E-4</v>
      </c>
      <c r="E31" s="56">
        <f>'data from protein balance sheet'!K15</f>
        <v>0.52996080499999998</v>
      </c>
      <c r="F31" s="56">
        <f>'data from protein balance sheet'!K39</f>
        <v>0.52483682195999992</v>
      </c>
      <c r="G31" s="56">
        <f>IF(B31&gt;E31,F31,F31*B31/E31)</f>
        <v>0.34293195457786496</v>
      </c>
      <c r="H31" s="61">
        <v>0.35</v>
      </c>
      <c r="I31" s="58">
        <f>F31*H31</f>
        <v>0.18369288768599995</v>
      </c>
      <c r="J31" s="58">
        <f>G31*H31</f>
        <v>0.12002618410225273</v>
      </c>
      <c r="K31" s="26"/>
      <c r="L31" s="26"/>
      <c r="M31" s="6">
        <f>+IF(H31&lt;15%,1,IF(H31&lt;30%,2,IF(H31&lt;50%,3,4)))</f>
        <v>3</v>
      </c>
      <c r="N31" s="52"/>
      <c r="O31" s="59">
        <f>+F31-'2019-20'!F31</f>
        <v>0.14516617697999995</v>
      </c>
      <c r="P31" s="60">
        <f>+F31/'2019-20'!F31-1</f>
        <v>0.38234764499016483</v>
      </c>
      <c r="Q31" s="34"/>
      <c r="R31" s="59">
        <f>+I31-'2019-20'!I31</f>
        <v>5.0808161942999974E-2</v>
      </c>
      <c r="S31" s="60">
        <f>+I31/'2019-20'!I31-1</f>
        <v>0.38234764499016483</v>
      </c>
      <c r="T31" s="64"/>
      <c r="U31" s="52"/>
      <c r="V31" s="52"/>
      <c r="W31" s="52"/>
      <c r="X31" s="52"/>
      <c r="Y31" s="52"/>
      <c r="Z31" s="52"/>
      <c r="AA31" s="52"/>
    </row>
    <row r="32" spans="1:27" ht="15" customHeight="1" outlineLevel="1" x14ac:dyDescent="0.25">
      <c r="A32" s="55" t="s">
        <v>29</v>
      </c>
      <c r="B32" s="56">
        <f>'data from protein balance sheet'!K9</f>
        <v>0.59937000000000007</v>
      </c>
      <c r="C32" s="56">
        <f>'data from protein balance sheet'!K25</f>
        <v>0.39810472500000005</v>
      </c>
      <c r="D32" s="56">
        <f>'data from protein balance sheet'!K33</f>
        <v>2.1152938E-2</v>
      </c>
      <c r="E32" s="56">
        <f>'data from protein balance sheet'!K17</f>
        <v>0.97632178700000005</v>
      </c>
      <c r="F32" s="56">
        <f>'data from protein balance sheet'!K41</f>
        <v>0.45934596282417517</v>
      </c>
      <c r="G32" s="56">
        <f>+(MIN(F32,B32-D32))</f>
        <v>0.45934596282417517</v>
      </c>
      <c r="H32" s="63">
        <v>0.25</v>
      </c>
      <c r="I32" s="58">
        <f>F32*H32</f>
        <v>0.11483649070604379</v>
      </c>
      <c r="J32" s="58">
        <f>G32*H32</f>
        <v>0.11483649070604379</v>
      </c>
      <c r="K32" s="26"/>
      <c r="L32" s="26"/>
      <c r="M32" s="6"/>
      <c r="N32" s="52"/>
      <c r="O32" s="59">
        <f>+F32-'2019-20'!F32</f>
        <v>0.2027407200000001</v>
      </c>
      <c r="P32" s="60">
        <f>+F32/'2019-20'!F32-1</f>
        <v>0.79008798794854429</v>
      </c>
      <c r="Q32" s="34"/>
      <c r="R32" s="59">
        <f>+I32-'2019-20'!I32</f>
        <v>5.0685180000000024E-2</v>
      </c>
      <c r="S32" s="60">
        <f>+I32/'2019-20'!I32-1</f>
        <v>0.79008798794854429</v>
      </c>
      <c r="T32" s="64"/>
      <c r="U32" s="52"/>
      <c r="V32" s="52"/>
      <c r="W32" s="52"/>
      <c r="X32" s="52"/>
      <c r="Y32" s="52"/>
      <c r="Z32" s="52"/>
      <c r="AA32" s="52"/>
    </row>
    <row r="33" spans="1:27" ht="12.75" customHeight="1" outlineLevel="1" x14ac:dyDescent="0.25">
      <c r="A33" s="20"/>
      <c r="B33" s="21"/>
      <c r="C33" s="21"/>
      <c r="D33" s="21"/>
      <c r="E33" s="21"/>
      <c r="F33" s="22"/>
      <c r="G33" s="22"/>
      <c r="H33" s="23"/>
      <c r="I33" s="24"/>
      <c r="J33" s="25"/>
      <c r="K33" s="26"/>
      <c r="L33" s="26"/>
      <c r="M33" s="6"/>
      <c r="N33" s="52"/>
      <c r="O33" s="36"/>
      <c r="P33" s="37"/>
      <c r="Q33" s="34"/>
      <c r="R33" s="59"/>
      <c r="S33" s="37"/>
      <c r="T33" s="35"/>
      <c r="U33" s="52"/>
      <c r="V33" s="52"/>
      <c r="W33" s="52"/>
      <c r="X33" s="52"/>
      <c r="Y33" s="52"/>
      <c r="Z33" s="52"/>
      <c r="AA33" s="52"/>
    </row>
    <row r="34" spans="1:27" ht="36" customHeight="1" x14ac:dyDescent="0.25">
      <c r="A34" s="27" t="s">
        <v>30</v>
      </c>
      <c r="B34" s="28"/>
      <c r="C34" s="28"/>
      <c r="D34" s="28"/>
      <c r="E34" s="28"/>
      <c r="F34" s="29">
        <f>+F36+F63</f>
        <v>76.714728533055435</v>
      </c>
      <c r="G34" s="29">
        <f>+G36+G63</f>
        <v>40.138757906336942</v>
      </c>
      <c r="H34" s="30"/>
      <c r="I34" s="30">
        <f>+I36+I63</f>
        <v>23.431615942287777</v>
      </c>
      <c r="J34" s="30">
        <f>+J36+J63</f>
        <v>8.5556212272392038</v>
      </c>
      <c r="K34" s="31">
        <f>IF(I34=0,0,J34/I34)</f>
        <v>0.36513150643608</v>
      </c>
      <c r="L34" s="31">
        <f>+I34/$I$89</f>
        <v>0.32591603116378753</v>
      </c>
      <c r="M34" s="6"/>
      <c r="N34" s="52"/>
      <c r="O34" s="32">
        <f>+F34-'2019-20'!F34</f>
        <v>-1.4551307119819654</v>
      </c>
      <c r="P34" s="33">
        <f>+F34/'2019-20'!F34-1</f>
        <v>-1.8614984420281422E-2</v>
      </c>
      <c r="Q34" s="34"/>
      <c r="R34" s="32">
        <f>+I34-'2019-20'!I34</f>
        <v>-0.20579477901183196</v>
      </c>
      <c r="S34" s="33">
        <f>+I34/'2019-20'!I34-1</f>
        <v>-8.706316501341238E-3</v>
      </c>
      <c r="T34" s="35"/>
    </row>
    <row r="35" spans="1:27" ht="7.5" customHeight="1" x14ac:dyDescent="0.25">
      <c r="A35" s="20"/>
      <c r="B35" s="21"/>
      <c r="C35" s="21"/>
      <c r="D35" s="21"/>
      <c r="E35" s="21"/>
      <c r="F35" s="22"/>
      <c r="G35" s="22"/>
      <c r="H35" s="23"/>
      <c r="I35" s="24"/>
      <c r="J35" s="25"/>
      <c r="K35" s="26"/>
      <c r="L35" s="26"/>
      <c r="M35" s="6"/>
      <c r="N35" s="52"/>
      <c r="O35" s="36"/>
      <c r="P35" s="37"/>
      <c r="Q35" s="34"/>
      <c r="R35" s="36"/>
      <c r="S35" s="37"/>
      <c r="T35" s="35"/>
    </row>
    <row r="36" spans="1:27" ht="19.5" customHeight="1" x14ac:dyDescent="0.25">
      <c r="A36" s="48" t="s">
        <v>31</v>
      </c>
      <c r="B36" s="49">
        <f t="shared" ref="B36:E36" si="7">+B38+B45+B51+B57</f>
        <v>28.804891930846065</v>
      </c>
      <c r="C36" s="49">
        <f t="shared" si="7"/>
        <v>21.267252551999999</v>
      </c>
      <c r="D36" s="49">
        <f t="shared" si="7"/>
        <v>2.3087673069999997</v>
      </c>
      <c r="E36" s="49">
        <f t="shared" si="7"/>
        <v>47.763377175846067</v>
      </c>
      <c r="F36" s="49">
        <f>+F38+F45+F51+F57</f>
        <v>47.555993620654114</v>
      </c>
      <c r="G36" s="49">
        <f>+G38+G45+G51+G57</f>
        <v>12.824412551935614</v>
      </c>
      <c r="H36" s="50"/>
      <c r="I36" s="50">
        <f>+I38+I45+I51+I57</f>
        <v>19.086018999021974</v>
      </c>
      <c r="J36" s="50">
        <f>+J38+J45+J51+J57</f>
        <v>4.4524391444344005</v>
      </c>
      <c r="K36" s="51">
        <f>IF(I36=0,0,J36/I36)</f>
        <v>0.23328275763859174</v>
      </c>
      <c r="L36" s="51">
        <f>+I36/$I$89</f>
        <v>0.26547206894304132</v>
      </c>
      <c r="M36" s="6"/>
      <c r="N36" s="52"/>
      <c r="O36" s="53">
        <f>+F36-'2019-20'!F36</f>
        <v>-0.59271028856036878</v>
      </c>
      <c r="P36" s="54">
        <f>+F36/'2019-20'!F36-1</f>
        <v>-1.2309994671464874E-2</v>
      </c>
      <c r="Q36" s="34"/>
      <c r="R36" s="53">
        <f>+I36-'2019-20'!I36</f>
        <v>-0.19546820299298062</v>
      </c>
      <c r="S36" s="54">
        <f>+I36/'2019-20'!I36-1</f>
        <v>-1.0137610286231169E-2</v>
      </c>
      <c r="T36" s="35"/>
    </row>
    <row r="37" spans="1:27" ht="7.5" customHeight="1" x14ac:dyDescent="0.25">
      <c r="A37" s="20"/>
      <c r="B37" s="21"/>
      <c r="C37" s="21"/>
      <c r="D37" s="21"/>
      <c r="E37" s="21"/>
      <c r="F37" s="22"/>
      <c r="G37" s="22"/>
      <c r="H37" s="23"/>
      <c r="I37" s="24"/>
      <c r="J37" s="25"/>
      <c r="K37" s="26"/>
      <c r="L37" s="26"/>
      <c r="M37" s="6"/>
      <c r="N37" s="52"/>
      <c r="O37" s="36"/>
      <c r="P37" s="37"/>
      <c r="Q37" s="34"/>
      <c r="R37" s="36"/>
      <c r="S37" s="37"/>
      <c r="T37" s="35"/>
    </row>
    <row r="38" spans="1:27" ht="19.5" customHeight="1" outlineLevel="1" x14ac:dyDescent="0.25">
      <c r="A38" s="48" t="s">
        <v>32</v>
      </c>
      <c r="B38" s="49">
        <f t="shared" ref="B38:E38" si="8">B40+B41+B42+B43</f>
        <v>11.443418956597732</v>
      </c>
      <c r="C38" s="49">
        <f t="shared" si="8"/>
        <v>16.606520513</v>
      </c>
      <c r="D38" s="49">
        <f t="shared" si="8"/>
        <v>0.77424119699999994</v>
      </c>
      <c r="E38" s="49">
        <f t="shared" si="8"/>
        <v>27.275698272597733</v>
      </c>
      <c r="F38" s="49">
        <f>F40+F41+F42+F43</f>
        <v>27.068314717405777</v>
      </c>
      <c r="G38" s="49">
        <f>G40+G41+G42+G43</f>
        <v>0.94445160223540003</v>
      </c>
      <c r="H38" s="50"/>
      <c r="I38" s="50">
        <f>SUM(I40:I43)</f>
        <v>12.343471906363742</v>
      </c>
      <c r="J38" s="50">
        <f>SUM(J40:J43)</f>
        <v>0.40611418896122203</v>
      </c>
      <c r="K38" s="51">
        <f>IF(I38=0,0,J38/I38)</f>
        <v>3.290113122482563E-2</v>
      </c>
      <c r="L38" s="51">
        <f>+I38/$I$89</f>
        <v>0.17168834554186521</v>
      </c>
      <c r="M38" s="6"/>
      <c r="N38" s="52"/>
      <c r="O38" s="53">
        <f>+F38-'2019-20'!F38</f>
        <v>4.7079213137994458E-2</v>
      </c>
      <c r="P38" s="54">
        <f>+F38/'2019-20'!F38-1</f>
        <v>1.7423042381077281E-3</v>
      </c>
      <c r="Q38" s="34"/>
      <c r="R38" s="53">
        <f>+I38-'2019-20'!I38</f>
        <v>2.2988967921147463E-2</v>
      </c>
      <c r="S38" s="54">
        <f>+I38/'2019-20'!I38-1</f>
        <v>1.8659145129300558E-3</v>
      </c>
      <c r="T38" s="35"/>
    </row>
    <row r="39" spans="1:27" ht="7.5" customHeight="1" outlineLevel="1" x14ac:dyDescent="0.25">
      <c r="A39" s="20"/>
      <c r="B39" s="21"/>
      <c r="C39" s="21"/>
      <c r="D39" s="21"/>
      <c r="E39" s="21"/>
      <c r="F39" s="22"/>
      <c r="G39" s="22"/>
      <c r="H39" s="23"/>
      <c r="I39" s="24"/>
      <c r="J39" s="25"/>
      <c r="K39" s="26"/>
      <c r="L39" s="26"/>
      <c r="M39" s="6"/>
      <c r="N39" s="52"/>
      <c r="O39" s="36"/>
      <c r="P39" s="37"/>
      <c r="Q39" s="34"/>
      <c r="R39" s="36"/>
      <c r="S39" s="37"/>
      <c r="T39" s="35"/>
    </row>
    <row r="40" spans="1:27" ht="15" customHeight="1" outlineLevel="1" x14ac:dyDescent="0.25">
      <c r="A40" s="55" t="s">
        <v>33</v>
      </c>
      <c r="B40" s="56">
        <f>(MIN((B23-D23)*'data from oilseed masterfile'!Y40,B23-D23-G23)*0.79)</f>
        <v>0.96372612473000008</v>
      </c>
      <c r="C40" s="56"/>
      <c r="D40" s="56"/>
      <c r="E40" s="56">
        <f>B40-D40</f>
        <v>0.96372612473000008</v>
      </c>
      <c r="F40" s="56">
        <f>(B40-D40)*0.98</f>
        <v>0.94445160223540003</v>
      </c>
      <c r="G40" s="56">
        <f>F40</f>
        <v>0.94445160223540003</v>
      </c>
      <c r="H40" s="61">
        <v>0.43</v>
      </c>
      <c r="I40" s="58">
        <f>F40*H40</f>
        <v>0.40611418896122203</v>
      </c>
      <c r="J40" s="58">
        <f>G40*H40</f>
        <v>0.40611418896122203</v>
      </c>
      <c r="K40" s="26"/>
      <c r="L40" s="26"/>
      <c r="M40" s="6">
        <f>+IF(H40&lt;15%,1,IF(H40&lt;30%,2,IF(H40&lt;50%,3,4)))</f>
        <v>3</v>
      </c>
      <c r="N40" s="52"/>
      <c r="O40" s="59">
        <f>+F40-'2019-20'!F40</f>
        <v>-6.2717037734400072E-2</v>
      </c>
      <c r="P40" s="60">
        <f>+F40/'2019-20'!F40-1</f>
        <v>-6.2270641921774561E-2</v>
      </c>
      <c r="Q40" s="34"/>
      <c r="R40" s="59">
        <f>+I40-'2019-20'!I40</f>
        <v>-2.6968326225791983E-2</v>
      </c>
      <c r="S40" s="60">
        <f>+I40/'2019-20'!I40-1</f>
        <v>-6.227064192177445E-2</v>
      </c>
      <c r="T40" s="35"/>
    </row>
    <row r="41" spans="1:27" ht="15" customHeight="1" outlineLevel="1" x14ac:dyDescent="0.25">
      <c r="A41" s="55" t="s">
        <v>34</v>
      </c>
      <c r="B41" s="56">
        <f>(MIN(C23*'data from oilseed masterfile'!Y40,C23-(F23-G23))*0.79-B43)</f>
        <v>10.179692831867731</v>
      </c>
      <c r="C41" s="56"/>
      <c r="D41" s="56">
        <f>+'data from oilseed masterfile'!Y35</f>
        <v>0.77424119699999994</v>
      </c>
      <c r="E41" s="56">
        <f>B41-D41</f>
        <v>9.4054516348677311</v>
      </c>
      <c r="F41" s="56">
        <f>(B41-D41)*0.98</f>
        <v>9.2173426021703762</v>
      </c>
      <c r="G41" s="56">
        <v>0</v>
      </c>
      <c r="H41" s="61">
        <v>0.45500000000000002</v>
      </c>
      <c r="I41" s="58">
        <f>F41*H41</f>
        <v>4.1938908839875211</v>
      </c>
      <c r="J41" s="58">
        <f>G41*H41</f>
        <v>0</v>
      </c>
      <c r="K41" s="26"/>
      <c r="L41" s="26"/>
      <c r="M41" s="6">
        <f>+IF(H41&lt;15%,1,IF(H41&lt;30%,2,IF(H41&lt;50%,3,4)))</f>
        <v>3</v>
      </c>
      <c r="N41" s="52"/>
      <c r="O41" s="59">
        <f>+F41-'2019-20'!F41</f>
        <v>0.29923814987239794</v>
      </c>
      <c r="P41" s="60">
        <f>+F41/'2019-20'!F41-1</f>
        <v>3.3554008194565554E-2</v>
      </c>
      <c r="Q41" s="34"/>
      <c r="R41" s="59">
        <f>+I41-'2019-20'!I41</f>
        <v>0.13615335819194119</v>
      </c>
      <c r="S41" s="60">
        <f>+I41/'2019-20'!I41-1</f>
        <v>3.3554008194565554E-2</v>
      </c>
      <c r="T41" s="64"/>
    </row>
    <row r="42" spans="1:27" ht="15" customHeight="1" outlineLevel="1" x14ac:dyDescent="0.25">
      <c r="A42" s="55" t="s">
        <v>35</v>
      </c>
      <c r="B42" s="56"/>
      <c r="C42" s="56">
        <f>+'data from oilseed masterfile'!Y31</f>
        <v>16.606520513</v>
      </c>
      <c r="D42" s="56"/>
      <c r="E42" s="56">
        <f>C42</f>
        <v>16.606520513</v>
      </c>
      <c r="F42" s="56">
        <f>(C42-D42)</f>
        <v>16.606520513</v>
      </c>
      <c r="G42" s="56">
        <v>0</v>
      </c>
      <c r="H42" s="61">
        <v>0.45500000000000002</v>
      </c>
      <c r="I42" s="58">
        <f>F42*H42</f>
        <v>7.5559668334149999</v>
      </c>
      <c r="J42" s="58">
        <f>G42*H42</f>
        <v>0</v>
      </c>
      <c r="K42" s="26"/>
      <c r="L42" s="26"/>
      <c r="M42" s="6">
        <f>+IF(H42&lt;15%,1,IF(H42&lt;30%,2,IF(H42&lt;50%,3,4)))</f>
        <v>3</v>
      </c>
      <c r="N42" s="52"/>
      <c r="O42" s="59">
        <f>+F42-'2019-20'!F42</f>
        <v>-0.18944189900000197</v>
      </c>
      <c r="P42" s="60">
        <f>+F42/'2019-20'!F42-1</f>
        <v>-1.1279014226934336E-2</v>
      </c>
      <c r="Q42" s="34"/>
      <c r="R42" s="59">
        <f>+I42-'2019-20'!I42</f>
        <v>-8.6196064045001464E-2</v>
      </c>
      <c r="S42" s="60">
        <f>+I42/'2019-20'!I42-1</f>
        <v>-1.1279014226934336E-2</v>
      </c>
      <c r="T42" s="64"/>
    </row>
    <row r="43" spans="1:27" ht="15" customHeight="1" outlineLevel="1" x14ac:dyDescent="0.25">
      <c r="A43" s="55" t="s">
        <v>36</v>
      </c>
      <c r="B43" s="56">
        <f>F43</f>
        <v>0.3</v>
      </c>
      <c r="C43" s="56"/>
      <c r="D43" s="56"/>
      <c r="E43" s="56">
        <f>B43+C43-D43</f>
        <v>0.3</v>
      </c>
      <c r="F43" s="56">
        <v>0.3</v>
      </c>
      <c r="G43" s="56">
        <v>0</v>
      </c>
      <c r="H43" s="65">
        <v>0.625</v>
      </c>
      <c r="I43" s="58">
        <f>F43*H43</f>
        <v>0.1875</v>
      </c>
      <c r="J43" s="58">
        <f>G43*H43</f>
        <v>0</v>
      </c>
      <c r="K43" s="26"/>
      <c r="L43" s="26"/>
      <c r="M43" s="6">
        <f>+IF(H43&lt;15%,1,IF(H43&lt;30%,2,IF(H43&lt;50%,3,4)))</f>
        <v>4</v>
      </c>
      <c r="N43" s="52"/>
      <c r="O43" s="59">
        <f>+F43-'2019-20'!F43</f>
        <v>0</v>
      </c>
      <c r="P43" s="60">
        <f>+F43/'2019-20'!F43-1</f>
        <v>0</v>
      </c>
      <c r="Q43" s="34"/>
      <c r="R43" s="59">
        <f>+I43-'2019-20'!I43</f>
        <v>0</v>
      </c>
      <c r="S43" s="60">
        <f>+I43/'2019-20'!I43-1</f>
        <v>0</v>
      </c>
      <c r="T43" s="64"/>
    </row>
    <row r="44" spans="1:27" ht="12.75" customHeight="1" outlineLevel="1" x14ac:dyDescent="0.25">
      <c r="A44" s="20"/>
      <c r="B44" s="21"/>
      <c r="C44" s="21"/>
      <c r="D44" s="21"/>
      <c r="E44" s="21"/>
      <c r="F44" s="22"/>
      <c r="G44" s="22"/>
      <c r="H44" s="23"/>
      <c r="I44" s="24"/>
      <c r="J44" s="25"/>
      <c r="K44" s="26"/>
      <c r="L44" s="26"/>
      <c r="M44" s="6"/>
      <c r="N44" s="52"/>
      <c r="O44" s="36"/>
      <c r="P44" s="37"/>
      <c r="Q44" s="34"/>
      <c r="R44" s="36"/>
      <c r="S44" s="37"/>
      <c r="T44" s="35"/>
    </row>
    <row r="45" spans="1:27" ht="19.5" customHeight="1" outlineLevel="1" x14ac:dyDescent="0.25">
      <c r="A45" s="48" t="s">
        <v>37</v>
      </c>
      <c r="B45" s="49">
        <f t="shared" ref="B45:E45" si="9">B47+B48+B49</f>
        <v>12.27933178570559</v>
      </c>
      <c r="C45" s="49">
        <f t="shared" si="9"/>
        <v>0.46660786400000004</v>
      </c>
      <c r="D45" s="49">
        <f t="shared" si="9"/>
        <v>0.75039033900000007</v>
      </c>
      <c r="E45" s="49">
        <f t="shared" si="9"/>
        <v>11.99554931070559</v>
      </c>
      <c r="F45" s="49">
        <f>F47+F48+F49</f>
        <v>11.99554931070559</v>
      </c>
      <c r="G45" s="49">
        <f>G47+G48+G49</f>
        <v>8.3395796722966402</v>
      </c>
      <c r="H45" s="50"/>
      <c r="I45" s="50">
        <f>SUM(I47:I49)</f>
        <v>3.958531272532845</v>
      </c>
      <c r="J45" s="50">
        <f>SUM(J47:J49)</f>
        <v>2.7520612918578915</v>
      </c>
      <c r="K45" s="51">
        <f>IF(I45=0,0,J45/I45)</f>
        <v>0.69522282442321082</v>
      </c>
      <c r="L45" s="51">
        <f>+I45/$I$89</f>
        <v>5.5060171895924166E-2</v>
      </c>
      <c r="M45" s="6"/>
      <c r="N45" s="52"/>
      <c r="O45" s="53">
        <f>+F45-'2019-20'!F45</f>
        <v>0.55677126942373789</v>
      </c>
      <c r="P45" s="54">
        <f>+F45/'2019-20'!F45-1</f>
        <v>4.8674016351605509E-2</v>
      </c>
      <c r="Q45" s="34"/>
      <c r="R45" s="53">
        <f>+I45-'2019-20'!I45</f>
        <v>0.18373451890983361</v>
      </c>
      <c r="S45" s="54">
        <f>+I45/'2019-20'!I45-1</f>
        <v>4.8674016351605509E-2</v>
      </c>
      <c r="T45" s="35"/>
    </row>
    <row r="46" spans="1:27" ht="7.5" customHeight="1" outlineLevel="1" x14ac:dyDescent="0.25">
      <c r="A46" s="20"/>
      <c r="B46" s="21"/>
      <c r="C46" s="21"/>
      <c r="D46" s="21"/>
      <c r="E46" s="21"/>
      <c r="F46" s="22"/>
      <c r="G46" s="22"/>
      <c r="H46" s="23"/>
      <c r="I46" s="24"/>
      <c r="J46" s="25"/>
      <c r="K46" s="26"/>
      <c r="L46" s="26"/>
      <c r="M46" s="6"/>
      <c r="N46" s="52"/>
      <c r="O46" s="36"/>
      <c r="P46" s="37"/>
      <c r="Q46" s="34"/>
      <c r="R46" s="36"/>
      <c r="S46" s="37"/>
      <c r="T46" s="35"/>
    </row>
    <row r="47" spans="1:27" ht="15" customHeight="1" outlineLevel="1" x14ac:dyDescent="0.25">
      <c r="A47" s="55" t="s">
        <v>38</v>
      </c>
      <c r="B47" s="56">
        <f>(MIN((B24-D24)*'data from oilseed masterfile'!Y41,B24-D24-G24)*0.57)</f>
        <v>9.0899700112966411</v>
      </c>
      <c r="C47" s="56"/>
      <c r="D47" s="56">
        <f>+'data from oilseed masterfile'!Y36</f>
        <v>0.75039033900000007</v>
      </c>
      <c r="E47" s="56">
        <f>B47-D47</f>
        <v>8.3395796722966402</v>
      </c>
      <c r="F47" s="56">
        <f>(B47-D47)</f>
        <v>8.3395796722966402</v>
      </c>
      <c r="G47" s="56">
        <f>F47</f>
        <v>8.3395796722966402</v>
      </c>
      <c r="H47" s="61">
        <v>0.33</v>
      </c>
      <c r="I47" s="58">
        <f>F47*H47</f>
        <v>2.7520612918578915</v>
      </c>
      <c r="J47" s="58">
        <f>G47*H47</f>
        <v>2.7520612918578915</v>
      </c>
      <c r="K47" s="26"/>
      <c r="L47" s="26"/>
      <c r="M47" s="6">
        <f>+IF(H47&lt;15%,1,IF(H47&lt;30%,2,IF(H47&lt;50%,3,4)))</f>
        <v>3</v>
      </c>
      <c r="N47" s="52"/>
      <c r="O47" s="59">
        <f>+F47-'2019-20'!F47</f>
        <v>0.66245786816774199</v>
      </c>
      <c r="P47" s="60">
        <f>+F47/'2019-20'!F47-1</f>
        <v>8.6289873349600921E-2</v>
      </c>
      <c r="Q47" s="34"/>
      <c r="R47" s="59">
        <f>+I47-'2019-20'!I47</f>
        <v>0.21861109649535493</v>
      </c>
      <c r="S47" s="60">
        <f>+I47/'2019-20'!I47-1</f>
        <v>8.6289873349600921E-2</v>
      </c>
      <c r="T47" s="35"/>
    </row>
    <row r="48" spans="1:27" ht="15" customHeight="1" outlineLevel="1" x14ac:dyDescent="0.25">
      <c r="A48" s="55" t="s">
        <v>39</v>
      </c>
      <c r="B48" s="56">
        <f>C24*'data from oilseed masterfile'!Y41*0.57</f>
        <v>3.1893617744089497</v>
      </c>
      <c r="C48" s="56"/>
      <c r="D48" s="56"/>
      <c r="E48" s="56">
        <f>B48-D48</f>
        <v>3.1893617744089497</v>
      </c>
      <c r="F48" s="56">
        <f>(B48-D48)</f>
        <v>3.1893617744089497</v>
      </c>
      <c r="G48" s="56">
        <v>0</v>
      </c>
      <c r="H48" s="61">
        <v>0.33</v>
      </c>
      <c r="I48" s="58">
        <f>F48*H48</f>
        <v>1.0524893855549535</v>
      </c>
      <c r="J48" s="58">
        <f>G48*H48</f>
        <v>0</v>
      </c>
      <c r="K48" s="26"/>
      <c r="L48" s="26"/>
      <c r="M48" s="6">
        <f>+IF(H48&lt;15%,1,IF(H48&lt;30%,2,IF(H48&lt;50%,3,4)))</f>
        <v>3</v>
      </c>
      <c r="N48" s="52"/>
      <c r="O48" s="59">
        <f>+F48-'2019-20'!F48</f>
        <v>-0.10373509974400319</v>
      </c>
      <c r="P48" s="60">
        <f>+F48/'2019-20'!F48-1</f>
        <v>-3.1500773802983217E-2</v>
      </c>
      <c r="Q48" s="34"/>
      <c r="R48" s="59">
        <f>+I48-'2019-20'!I48</f>
        <v>-3.4232582915521004E-2</v>
      </c>
      <c r="S48" s="60">
        <f>+I48/'2019-20'!I48-1</f>
        <v>-3.1500773802983106E-2</v>
      </c>
      <c r="T48" s="64"/>
    </row>
    <row r="49" spans="1:27" ht="15" customHeight="1" outlineLevel="1" x14ac:dyDescent="0.25">
      <c r="A49" s="55" t="s">
        <v>40</v>
      </c>
      <c r="B49" s="56"/>
      <c r="C49" s="56">
        <f>+'data from oilseed masterfile'!Y32</f>
        <v>0.46660786400000004</v>
      </c>
      <c r="D49" s="56"/>
      <c r="E49" s="56">
        <f>C49</f>
        <v>0.46660786400000004</v>
      </c>
      <c r="F49" s="56">
        <f>IF((C49-D49)&lt;0,0,C49-D49)</f>
        <v>0.46660786400000004</v>
      </c>
      <c r="G49" s="56">
        <v>0</v>
      </c>
      <c r="H49" s="61">
        <v>0.33</v>
      </c>
      <c r="I49" s="58">
        <f>F49*H49</f>
        <v>0.15398059512000001</v>
      </c>
      <c r="J49" s="58">
        <f>G49*H49</f>
        <v>0</v>
      </c>
      <c r="K49" s="26"/>
      <c r="L49" s="26"/>
      <c r="M49" s="6">
        <f>+IF(H49&lt;15%,1,IF(H49&lt;30%,2,IF(H49&lt;50%,3,4)))</f>
        <v>3</v>
      </c>
      <c r="N49" s="52"/>
      <c r="O49" s="59">
        <f>+F49-'2019-20'!F49</f>
        <v>-1.9514989999999122E-3</v>
      </c>
      <c r="P49" s="60">
        <f>+F49/'2019-20'!F49-1</f>
        <v>-4.1648916959107218E-3</v>
      </c>
      <c r="Q49" s="34"/>
      <c r="R49" s="59">
        <f>+I49-'2019-20'!I49</f>
        <v>-6.4399466999998101E-4</v>
      </c>
      <c r="S49" s="60">
        <f>+I49/'2019-20'!I49-1</f>
        <v>-4.1648916959107218E-3</v>
      </c>
      <c r="T49" s="64"/>
      <c r="U49" s="52"/>
      <c r="V49" s="52"/>
      <c r="W49" s="52"/>
      <c r="X49" s="52"/>
      <c r="Y49" s="52"/>
      <c r="Z49" s="52"/>
      <c r="AA49" s="52"/>
    </row>
    <row r="50" spans="1:27" ht="12.75" customHeight="1" outlineLevel="1" x14ac:dyDescent="0.25">
      <c r="A50" s="20"/>
      <c r="B50" s="21"/>
      <c r="C50" s="21"/>
      <c r="D50" s="21"/>
      <c r="E50" s="21"/>
      <c r="F50" s="22"/>
      <c r="G50" s="22"/>
      <c r="H50" s="23"/>
      <c r="I50" s="24"/>
      <c r="J50" s="25"/>
      <c r="K50" s="26"/>
      <c r="L50" s="26"/>
      <c r="M50" s="6"/>
      <c r="N50" s="52"/>
      <c r="O50" s="36"/>
      <c r="P50" s="37"/>
      <c r="Q50" s="34"/>
      <c r="R50" s="36"/>
      <c r="S50" s="37"/>
      <c r="T50" s="35"/>
      <c r="U50" s="52"/>
      <c r="V50" s="52"/>
      <c r="W50" s="52"/>
      <c r="X50" s="52"/>
      <c r="Y50" s="52"/>
      <c r="Z50" s="52"/>
      <c r="AA50" s="52"/>
    </row>
    <row r="51" spans="1:27" ht="19.5" customHeight="1" outlineLevel="1" x14ac:dyDescent="0.25">
      <c r="A51" s="48" t="s">
        <v>41</v>
      </c>
      <c r="B51" s="49">
        <f t="shared" ref="B51:E51" si="10">B53+B54+B55</f>
        <v>4.4461411885427422</v>
      </c>
      <c r="C51" s="49">
        <f t="shared" si="10"/>
        <v>2.6839092430000004</v>
      </c>
      <c r="D51" s="49">
        <f t="shared" si="10"/>
        <v>0.61039698599999992</v>
      </c>
      <c r="E51" s="49">
        <f t="shared" si="10"/>
        <v>6.5196534455427422</v>
      </c>
      <c r="F51" s="49">
        <f>F53+F54+F55</f>
        <v>6.5196534455427422</v>
      </c>
      <c r="G51" s="49">
        <f>G53+G54+G55</f>
        <v>3.438205694403575</v>
      </c>
      <c r="H51" s="50"/>
      <c r="I51" s="50">
        <f>SUM(I53:I55)</f>
        <v>2.3470752403953874</v>
      </c>
      <c r="J51" s="50">
        <f>SUM(J53:J55)</f>
        <v>1.237754049985287</v>
      </c>
      <c r="K51" s="51">
        <f>IF(I51=0,0,J51/I51)</f>
        <v>0.52736019224367747</v>
      </c>
      <c r="L51" s="51">
        <f>+I51/$I$89</f>
        <v>3.2646038970446281E-2</v>
      </c>
      <c r="M51" s="6"/>
      <c r="N51" s="52"/>
      <c r="O51" s="53">
        <f>+F51-'2019-20'!F51</f>
        <v>-1.0611347221221097</v>
      </c>
      <c r="P51" s="54">
        <f>+F51/'2019-20'!F51-1</f>
        <v>-0.13997683336520095</v>
      </c>
      <c r="Q51" s="34"/>
      <c r="R51" s="53">
        <f>+I51-'2019-20'!I51</f>
        <v>-0.38200849996395903</v>
      </c>
      <c r="S51" s="54">
        <f>+I51/'2019-20'!I51-1</f>
        <v>-0.13997683336520073</v>
      </c>
      <c r="T51" s="35"/>
    </row>
    <row r="52" spans="1:27" ht="7.5" customHeight="1" outlineLevel="1" x14ac:dyDescent="0.25">
      <c r="A52" s="20"/>
      <c r="B52" s="21"/>
      <c r="C52" s="21"/>
      <c r="D52" s="21"/>
      <c r="E52" s="21"/>
      <c r="F52" s="22"/>
      <c r="G52" s="22"/>
      <c r="H52" s="23"/>
      <c r="I52" s="24"/>
      <c r="J52" s="25"/>
      <c r="K52" s="26"/>
      <c r="L52" s="26"/>
      <c r="M52" s="6"/>
      <c r="N52" s="52"/>
      <c r="O52" s="36"/>
      <c r="P52" s="37"/>
      <c r="Q52" s="34"/>
      <c r="R52" s="36"/>
      <c r="S52" s="37"/>
      <c r="T52" s="35"/>
    </row>
    <row r="53" spans="1:27" ht="15" customHeight="1" outlineLevel="1" x14ac:dyDescent="0.25">
      <c r="A53" s="55" t="s">
        <v>42</v>
      </c>
      <c r="B53" s="56">
        <f>MIN((B25-D25)*'data from oilseed masterfile'!Y42,B25-D25-F25)*55%</f>
        <v>4.0486026804035751</v>
      </c>
      <c r="C53" s="56"/>
      <c r="D53" s="56">
        <f>+'data from oilseed masterfile'!Y37</f>
        <v>0.61039698599999992</v>
      </c>
      <c r="E53" s="56">
        <f>B53-D53</f>
        <v>3.438205694403575</v>
      </c>
      <c r="F53" s="56">
        <f>(B53-D53)</f>
        <v>3.438205694403575</v>
      </c>
      <c r="G53" s="56">
        <f>F53</f>
        <v>3.438205694403575</v>
      </c>
      <c r="H53" s="61">
        <v>0.36</v>
      </c>
      <c r="I53" s="58">
        <f>F53*H53</f>
        <v>1.237754049985287</v>
      </c>
      <c r="J53" s="58">
        <f>G53*H53</f>
        <v>1.237754049985287</v>
      </c>
      <c r="K53" s="26"/>
      <c r="L53" s="26"/>
      <c r="M53" s="6">
        <f>+IF(H53&lt;15%,1,IF(H53&lt;30%,2,IF(H53&lt;50%,3,4)))</f>
        <v>3</v>
      </c>
      <c r="N53" s="52"/>
      <c r="O53" s="59">
        <f>+F53-'2019-20'!F53</f>
        <v>-0.65341521181573237</v>
      </c>
      <c r="P53" s="60">
        <f>+F53/'2019-20'!F53-1</f>
        <v>-0.15969593146386907</v>
      </c>
      <c r="Q53" s="34"/>
      <c r="R53" s="59">
        <f>+I53-'2019-20'!I53</f>
        <v>-0.23522947625366353</v>
      </c>
      <c r="S53" s="60">
        <f>+I53/'2019-20'!I53-1</f>
        <v>-0.15969593146386896</v>
      </c>
      <c r="T53" s="35"/>
    </row>
    <row r="54" spans="1:27" ht="15" customHeight="1" outlineLevel="1" x14ac:dyDescent="0.25">
      <c r="A54" s="55" t="s">
        <v>43</v>
      </c>
      <c r="B54" s="56">
        <f>C25*'data from oilseed masterfile'!Y42*55%</f>
        <v>0.39753850813916708</v>
      </c>
      <c r="C54" s="56"/>
      <c r="D54" s="56"/>
      <c r="E54" s="56">
        <f>B54-D54</f>
        <v>0.39753850813916708</v>
      </c>
      <c r="F54" s="56">
        <f>(B54-D54)</f>
        <v>0.39753850813916708</v>
      </c>
      <c r="G54" s="56">
        <v>0</v>
      </c>
      <c r="H54" s="61">
        <v>0.36</v>
      </c>
      <c r="I54" s="58">
        <f>F54*H54</f>
        <v>0.14311386293010014</v>
      </c>
      <c r="J54" s="58">
        <f>G54*H54</f>
        <v>0</v>
      </c>
      <c r="K54" s="26"/>
      <c r="L54" s="26"/>
      <c r="M54" s="6">
        <f>+IF(H54&lt;15%,1,IF(H54&lt;30%,2,IF(H54&lt;50%,3,4)))</f>
        <v>3</v>
      </c>
      <c r="N54" s="52"/>
      <c r="O54" s="59">
        <f>+F54-'2019-20'!F54</f>
        <v>-7.2863935306377581E-2</v>
      </c>
      <c r="P54" s="60">
        <f>+F54/'2019-20'!F54-1</f>
        <v>-0.15489701705771974</v>
      </c>
      <c r="Q54" s="34"/>
      <c r="R54" s="59">
        <f>+I54-'2019-20'!I54</f>
        <v>-2.6231016710295929E-2</v>
      </c>
      <c r="S54" s="60">
        <f>+I54/'2019-20'!I54-1</f>
        <v>-0.15489701705771974</v>
      </c>
      <c r="T54" s="64"/>
      <c r="U54" s="52"/>
      <c r="V54" s="52"/>
      <c r="W54" s="52"/>
      <c r="X54" s="52"/>
      <c r="Y54" s="52"/>
      <c r="Z54" s="52"/>
      <c r="AA54" s="52"/>
    </row>
    <row r="55" spans="1:27" ht="15" customHeight="1" outlineLevel="1" x14ac:dyDescent="0.25">
      <c r="A55" s="55" t="s">
        <v>44</v>
      </c>
      <c r="B55" s="56"/>
      <c r="C55" s="56">
        <f>+'data from oilseed masterfile'!Y33</f>
        <v>2.6839092430000004</v>
      </c>
      <c r="D55" s="56"/>
      <c r="E55" s="56">
        <f>C55</f>
        <v>2.6839092430000004</v>
      </c>
      <c r="F55" s="56">
        <f>C55-D55</f>
        <v>2.6839092430000004</v>
      </c>
      <c r="G55" s="56">
        <v>0</v>
      </c>
      <c r="H55" s="61">
        <v>0.36</v>
      </c>
      <c r="I55" s="58">
        <f>F55*H55</f>
        <v>0.96620732748000016</v>
      </c>
      <c r="J55" s="58">
        <f>G55*H55</f>
        <v>0</v>
      </c>
      <c r="K55" s="26"/>
      <c r="L55" s="26"/>
      <c r="M55" s="6">
        <f>+IF(H55&lt;15%,1,IF(H55&lt;30%,2,IF(H55&lt;50%,3,4)))</f>
        <v>3</v>
      </c>
      <c r="N55" s="52"/>
      <c r="O55" s="59">
        <f>+F55-'2019-20'!F55</f>
        <v>-0.33485557499999974</v>
      </c>
      <c r="P55" s="60">
        <f>+F55/'2019-20'!F55-1</f>
        <v>-0.11092469774503633</v>
      </c>
      <c r="Q55" s="34"/>
      <c r="R55" s="59">
        <f>+I55-'2019-20'!I55</f>
        <v>-0.1205480069999999</v>
      </c>
      <c r="S55" s="60">
        <f>+I55/'2019-20'!I55-1</f>
        <v>-0.11092469774503633</v>
      </c>
      <c r="T55" s="64"/>
      <c r="U55" s="52"/>
      <c r="V55" s="52"/>
      <c r="W55" s="52"/>
      <c r="X55" s="52"/>
      <c r="Y55" s="52"/>
      <c r="Z55" s="52"/>
      <c r="AA55" s="52"/>
    </row>
    <row r="56" spans="1:27" ht="12.75" customHeight="1" outlineLevel="1" x14ac:dyDescent="0.25">
      <c r="A56" s="20"/>
      <c r="B56" s="21"/>
      <c r="C56" s="21"/>
      <c r="D56" s="21"/>
      <c r="E56" s="21"/>
      <c r="F56" s="22"/>
      <c r="G56" s="22"/>
      <c r="H56" s="23"/>
      <c r="I56" s="24"/>
      <c r="J56" s="25"/>
      <c r="K56" s="26"/>
      <c r="L56" s="26"/>
      <c r="M56" s="6"/>
      <c r="N56" s="52"/>
      <c r="O56" s="36"/>
      <c r="P56" s="37"/>
      <c r="Q56" s="34"/>
      <c r="R56" s="36"/>
      <c r="S56" s="37"/>
      <c r="T56" s="35"/>
      <c r="U56" s="52"/>
      <c r="V56" s="52"/>
      <c r="W56" s="52"/>
      <c r="X56" s="52"/>
      <c r="Y56" s="52"/>
      <c r="Z56" s="52"/>
      <c r="AA56" s="52"/>
    </row>
    <row r="57" spans="1:27" ht="19.5" customHeight="1" outlineLevel="1" x14ac:dyDescent="0.25">
      <c r="A57" s="48" t="s">
        <v>45</v>
      </c>
      <c r="B57" s="49">
        <f t="shared" ref="B57:E57" si="11">B59+B60+B61</f>
        <v>0.63600000000000001</v>
      </c>
      <c r="C57" s="49">
        <f t="shared" si="11"/>
        <v>1.5102149320000002</v>
      </c>
      <c r="D57" s="49">
        <f t="shared" si="11"/>
        <v>0.17373878500000003</v>
      </c>
      <c r="E57" s="49">
        <f t="shared" si="11"/>
        <v>1.9724761470000001</v>
      </c>
      <c r="F57" s="49">
        <f>F59+F60+F61</f>
        <v>1.9724761470000001</v>
      </c>
      <c r="G57" s="49">
        <f>G59+G60+G61</f>
        <v>0.102175583</v>
      </c>
      <c r="H57" s="50"/>
      <c r="I57" s="50">
        <f>SUM(I59:I61)</f>
        <v>0.43694057973000006</v>
      </c>
      <c r="J57" s="50">
        <f>SUM(J59:J61)</f>
        <v>5.6509613630000004E-2</v>
      </c>
      <c r="K57" s="51">
        <f>IF(I57=0,0,J57/I57)</f>
        <v>0.12933020243832502</v>
      </c>
      <c r="L57" s="51">
        <f>+I57/$I$89</f>
        <v>6.0775125348056592E-3</v>
      </c>
      <c r="M57" s="6"/>
      <c r="N57" s="52"/>
      <c r="O57" s="53">
        <f>+F57-'2019-20'!F57</f>
        <v>-0.13542604900000033</v>
      </c>
      <c r="P57" s="54">
        <f>+F57/'2019-20'!F57-1</f>
        <v>-6.4246837095662035E-2</v>
      </c>
      <c r="Q57" s="34"/>
      <c r="R57" s="53">
        <f>+I57-'2019-20'!I57</f>
        <v>-2.018318985999995E-2</v>
      </c>
      <c r="S57" s="54">
        <f>+I57/'2019-20'!I57-1</f>
        <v>-4.415257136618056E-2</v>
      </c>
      <c r="T57" s="35"/>
    </row>
    <row r="58" spans="1:27" ht="7.5" customHeight="1" outlineLevel="1" x14ac:dyDescent="0.25">
      <c r="A58" s="20"/>
      <c r="B58" s="21"/>
      <c r="C58" s="21"/>
      <c r="D58" s="21"/>
      <c r="E58" s="21"/>
      <c r="F58" s="22"/>
      <c r="G58" s="22"/>
      <c r="H58" s="23"/>
      <c r="I58" s="24"/>
      <c r="J58" s="25"/>
      <c r="K58" s="26"/>
      <c r="L58" s="26"/>
      <c r="M58" s="6"/>
      <c r="N58" s="52"/>
      <c r="O58" s="36"/>
      <c r="P58" s="37"/>
      <c r="Q58" s="34"/>
      <c r="R58" s="36"/>
      <c r="S58" s="37"/>
      <c r="T58" s="35"/>
    </row>
    <row r="59" spans="1:27" ht="15" customHeight="1" outlineLevel="1" x14ac:dyDescent="0.25">
      <c r="A59" s="55" t="s">
        <v>46</v>
      </c>
      <c r="B59" s="56">
        <v>0</v>
      </c>
      <c r="C59" s="56">
        <v>1.4192845870000002</v>
      </c>
      <c r="D59" s="56">
        <v>8.9069752000000016E-2</v>
      </c>
      <c r="E59" s="56">
        <f>B59+C59-D59</f>
        <v>1.330214835</v>
      </c>
      <c r="F59" s="56">
        <f>E59</f>
        <v>1.330214835</v>
      </c>
      <c r="G59" s="56">
        <f>IF(B59&gt;E59,F59,F59*(B59-D59)/E59)</f>
        <v>-8.9069752000000016E-2</v>
      </c>
      <c r="H59" s="63">
        <v>0.16</v>
      </c>
      <c r="I59" s="58">
        <f>F59*H59</f>
        <v>0.21283437360000002</v>
      </c>
      <c r="J59" s="58">
        <f>G59*H59</f>
        <v>-1.4251160320000003E-2</v>
      </c>
      <c r="K59" s="26"/>
      <c r="L59" s="26"/>
      <c r="M59" s="6">
        <f>+IF(H59&lt;15%,1,IF(H59&lt;30%,2,IF(H59&lt;50%,3,4)))</f>
        <v>2</v>
      </c>
      <c r="N59" s="52"/>
      <c r="O59" s="59">
        <f>+F59-'2019-20'!F59</f>
        <v>-0.14519073500000013</v>
      </c>
      <c r="P59" s="60">
        <f>+F59/'2019-20'!F59-1</f>
        <v>-9.8407338261573774E-2</v>
      </c>
      <c r="Q59" s="34"/>
      <c r="R59" s="59">
        <f>+I59-'2019-20'!I59</f>
        <v>-2.3230517600000028E-2</v>
      </c>
      <c r="S59" s="60">
        <f>+I59/'2019-20'!I59-1</f>
        <v>-9.8407338261573885E-2</v>
      </c>
      <c r="T59" s="35"/>
    </row>
    <row r="60" spans="1:27" ht="15" customHeight="1" outlineLevel="4" x14ac:dyDescent="0.25">
      <c r="A60" s="55" t="s">
        <v>47</v>
      </c>
      <c r="B60" s="56">
        <v>0.40200000000000002</v>
      </c>
      <c r="C60" s="56">
        <v>5.6505190000000004E-2</v>
      </c>
      <c r="D60" s="56">
        <v>7.4892130000000006E-3</v>
      </c>
      <c r="E60" s="56">
        <f>B60+C60-D60</f>
        <v>0.45101597700000001</v>
      </c>
      <c r="F60" s="56">
        <f>E60</f>
        <v>0.45101597700000001</v>
      </c>
      <c r="G60" s="56">
        <v>0</v>
      </c>
      <c r="H60" s="61">
        <v>0.34</v>
      </c>
      <c r="I60" s="58">
        <f>F60*H60</f>
        <v>0.15334543218000002</v>
      </c>
      <c r="J60" s="58">
        <f>G60*H60</f>
        <v>0</v>
      </c>
      <c r="K60" s="26"/>
      <c r="L60" s="26"/>
      <c r="M60" s="6">
        <f>+IF(H60&lt;15%,1,IF(H60&lt;30%,2,IF(H60&lt;50%,3,4)))</f>
        <v>3</v>
      </c>
      <c r="N60" s="52"/>
      <c r="O60" s="59">
        <f>+F60-'2019-20'!F60</f>
        <v>1.8853536000000004E-2</v>
      </c>
      <c r="P60" s="60">
        <f>+F60/'2019-20'!F60-1</f>
        <v>4.3626040144474354E-2</v>
      </c>
      <c r="Q60" s="34"/>
      <c r="R60" s="59">
        <f>+I60-'2019-20'!I60</f>
        <v>6.4102022399999958E-3</v>
      </c>
      <c r="S60" s="60">
        <f>+I60/'2019-20'!I60-1</f>
        <v>4.3626040144474354E-2</v>
      </c>
      <c r="T60" s="64"/>
      <c r="U60" s="52"/>
      <c r="V60" s="52"/>
      <c r="W60" s="52"/>
      <c r="X60" s="52"/>
      <c r="Y60" s="52"/>
      <c r="Z60" s="52"/>
      <c r="AA60" s="52"/>
    </row>
    <row r="61" spans="1:27" ht="15" customHeight="1" outlineLevel="4" x14ac:dyDescent="0.25">
      <c r="A61" s="55" t="s">
        <v>48</v>
      </c>
      <c r="B61" s="56">
        <v>0.23400000000000001</v>
      </c>
      <c r="C61" s="56">
        <v>3.4425155000000006E-2</v>
      </c>
      <c r="D61" s="56">
        <v>7.7179820000000024E-2</v>
      </c>
      <c r="E61" s="56">
        <f>B61+C61-D61</f>
        <v>0.19124533500000002</v>
      </c>
      <c r="F61" s="56">
        <f>E61</f>
        <v>0.19124533500000002</v>
      </c>
      <c r="G61" s="56">
        <f>IF(B61&gt;E61,F61,F61*(B61-D61)/E61)</f>
        <v>0.19124533500000002</v>
      </c>
      <c r="H61" s="61">
        <v>0.37</v>
      </c>
      <c r="I61" s="58">
        <f>F61*H61</f>
        <v>7.0760773950000008E-2</v>
      </c>
      <c r="J61" s="58">
        <f>G61*H61</f>
        <v>7.0760773950000008E-2</v>
      </c>
      <c r="K61" s="26"/>
      <c r="L61" s="26"/>
      <c r="M61" s="6">
        <f>+IF(H61&lt;15%,1,IF(H61&lt;30%,2,IF(H61&lt;50%,3,4)))</f>
        <v>3</v>
      </c>
      <c r="N61" s="52"/>
      <c r="O61" s="59">
        <f>+F61-'2019-20'!F61</f>
        <v>-9.0888499999999817E-3</v>
      </c>
      <c r="P61" s="60">
        <f>+F61/'2019-20'!F61-1</f>
        <v>-4.5368442734823211E-2</v>
      </c>
      <c r="Q61" s="34"/>
      <c r="R61" s="59">
        <f>+I61-'2019-20'!I61</f>
        <v>-3.3628744999999877E-3</v>
      </c>
      <c r="S61" s="60">
        <f>+I61/'2019-20'!I61-1</f>
        <v>-4.53684427348231E-2</v>
      </c>
      <c r="T61" s="64"/>
      <c r="U61" s="52"/>
      <c r="V61" s="52"/>
      <c r="W61" s="52"/>
      <c r="X61" s="52"/>
      <c r="Y61" s="52"/>
      <c r="Z61" s="52"/>
      <c r="AA61" s="52"/>
    </row>
    <row r="62" spans="1:27" ht="12.75" customHeight="1" outlineLevel="1" x14ac:dyDescent="0.25">
      <c r="A62" s="20"/>
      <c r="B62" s="21"/>
      <c r="C62" s="21"/>
      <c r="D62" s="21"/>
      <c r="E62" s="21"/>
      <c r="F62" s="22"/>
      <c r="G62" s="22"/>
      <c r="H62" s="23"/>
      <c r="I62" s="24"/>
      <c r="J62" s="25"/>
      <c r="K62" s="26"/>
      <c r="L62" s="26"/>
      <c r="M62" s="6"/>
      <c r="N62" s="52"/>
      <c r="O62" s="36"/>
      <c r="P62" s="37"/>
      <c r="Q62" s="34"/>
      <c r="R62" s="36"/>
      <c r="S62" s="37"/>
      <c r="T62" s="35"/>
      <c r="U62" s="52"/>
      <c r="V62" s="52"/>
      <c r="W62" s="52"/>
      <c r="X62" s="52"/>
      <c r="Y62" s="52"/>
      <c r="Z62" s="52"/>
      <c r="AA62" s="52"/>
    </row>
    <row r="63" spans="1:27" ht="19.5" customHeight="1" x14ac:dyDescent="0.25">
      <c r="A63" s="48" t="s">
        <v>49</v>
      </c>
      <c r="B63" s="49">
        <f t="shared" ref="B63:E63" si="12">SUM(B65:B72)</f>
        <v>29.883636106128797</v>
      </c>
      <c r="C63" s="49">
        <f t="shared" ref="C63:D63" si="13">SUM(C65:C72)</f>
        <v>3.3859938969999996</v>
      </c>
      <c r="D63" s="49">
        <f t="shared" si="13"/>
        <v>1.2915224379999999</v>
      </c>
      <c r="E63" s="49">
        <f t="shared" si="12"/>
        <v>31.978107565128795</v>
      </c>
      <c r="F63" s="49">
        <f>SUM(F65:F72)</f>
        <v>29.158734912401322</v>
      </c>
      <c r="G63" s="49">
        <f>SUM(G65:G72)</f>
        <v>27.314345354401325</v>
      </c>
      <c r="H63" s="50"/>
      <c r="I63" s="50">
        <f>SUM(I65:I72)</f>
        <v>4.3455969432658019</v>
      </c>
      <c r="J63" s="50">
        <f>SUM(J65:J72)</f>
        <v>4.1031820828048025</v>
      </c>
      <c r="K63" s="51">
        <f>IF(I63=0,0,J63/I63)</f>
        <v>0.94421598145758545</v>
      </c>
      <c r="L63" s="51">
        <f>+I63/$I$89</f>
        <v>6.0443962220746203E-2</v>
      </c>
      <c r="M63" s="6"/>
      <c r="N63" s="52"/>
      <c r="O63" s="53">
        <f>+F63-'2019-20'!F63</f>
        <v>-0.86242042342158953</v>
      </c>
      <c r="P63" s="54">
        <f>+F63/'2019-20'!F63-1</f>
        <v>-2.8727089739697731E-2</v>
      </c>
      <c r="Q63" s="34"/>
      <c r="R63" s="53">
        <f>+I63-'2019-20'!I63</f>
        <v>-1.0326576018853117E-2</v>
      </c>
      <c r="S63" s="54">
        <f>+I63/'2019-20'!I63-1</f>
        <v>-2.3706972753619882E-3</v>
      </c>
      <c r="T63" s="35"/>
      <c r="U63" s="52"/>
      <c r="V63" s="52"/>
      <c r="W63" s="52"/>
      <c r="X63" s="52"/>
      <c r="Y63" s="52"/>
      <c r="Z63" s="52"/>
      <c r="AA63" s="52"/>
    </row>
    <row r="64" spans="1:27" ht="7.5" customHeight="1" outlineLevel="2" x14ac:dyDescent="0.25">
      <c r="A64" s="20"/>
      <c r="B64" s="21"/>
      <c r="C64" s="21"/>
      <c r="D64" s="21"/>
      <c r="E64" s="21"/>
      <c r="F64" s="22"/>
      <c r="G64" s="22"/>
      <c r="H64" s="23"/>
      <c r="I64" s="24"/>
      <c r="J64" s="25"/>
      <c r="K64" s="26"/>
      <c r="L64" s="26"/>
      <c r="M64" s="6"/>
      <c r="N64" s="52"/>
      <c r="O64" s="36"/>
      <c r="P64" s="37"/>
      <c r="Q64" s="34"/>
      <c r="R64" s="36"/>
      <c r="S64" s="37"/>
      <c r="T64" s="35"/>
      <c r="U64" s="52"/>
      <c r="V64" s="52"/>
      <c r="W64" s="52"/>
      <c r="X64" s="52"/>
      <c r="Y64" s="52"/>
      <c r="Z64" s="52"/>
      <c r="AA64" s="52"/>
    </row>
    <row r="65" spans="1:27" ht="15" customHeight="1" outlineLevel="4" x14ac:dyDescent="0.25">
      <c r="A65" s="55" t="s">
        <v>50</v>
      </c>
      <c r="B65" s="56">
        <v>4.0533050210675476</v>
      </c>
      <c r="C65" s="56">
        <v>0.47552911299999989</v>
      </c>
      <c r="D65" s="56">
        <v>0.41090167699999985</v>
      </c>
      <c r="E65" s="56">
        <f t="shared" ref="E65:E67" si="14">B65+C65-D65</f>
        <v>4.117932457067548</v>
      </c>
      <c r="F65" s="56">
        <f>E65</f>
        <v>4.117932457067548</v>
      </c>
      <c r="G65" s="56">
        <f>+F65</f>
        <v>4.117932457067548</v>
      </c>
      <c r="H65" s="63">
        <v>0.19</v>
      </c>
      <c r="I65" s="58">
        <f>F65*H65</f>
        <v>0.78240716684283407</v>
      </c>
      <c r="J65" s="58">
        <f>G65*H65</f>
        <v>0.78240716684283407</v>
      </c>
      <c r="K65" s="26"/>
      <c r="L65" s="26"/>
      <c r="M65" s="6">
        <f t="shared" ref="M65:M71" si="15">+IF(H65&lt;15%,1,IF(H65&lt;30%,2,IF(H65&lt;50%,3,4)))</f>
        <v>2</v>
      </c>
      <c r="N65" s="52"/>
      <c r="O65" s="59">
        <f>+F65-'2019-20'!F65</f>
        <v>0.30069190549528368</v>
      </c>
      <c r="P65" s="60">
        <f>+F65/'2019-20'!F65-1</f>
        <v>7.877206097777445E-2</v>
      </c>
      <c r="Q65" s="34"/>
      <c r="R65" s="59">
        <f>+I65-'2019-20'!I65</f>
        <v>5.7131462044103798E-2</v>
      </c>
      <c r="S65" s="60">
        <f>+I65/'2019-20'!I65-1</f>
        <v>7.8772060977774228E-2</v>
      </c>
      <c r="T65" s="64"/>
      <c r="U65" s="52"/>
      <c r="V65" s="52"/>
      <c r="W65" s="52"/>
      <c r="X65" s="52"/>
      <c r="Y65" s="52"/>
      <c r="Z65" s="52"/>
      <c r="AA65" s="52"/>
    </row>
    <row r="66" spans="1:27" ht="15.75" outlineLevel="4" x14ac:dyDescent="0.25">
      <c r="A66" s="55" t="s">
        <v>51</v>
      </c>
      <c r="B66" s="56">
        <v>1.0188612348548185</v>
      </c>
      <c r="C66" s="56"/>
      <c r="D66" s="56"/>
      <c r="E66" s="56">
        <f t="shared" si="14"/>
        <v>1.0188612348548185</v>
      </c>
      <c r="F66" s="56">
        <v>0.6694603640473431</v>
      </c>
      <c r="G66" s="56">
        <f>+F66</f>
        <v>0.6694603640473431</v>
      </c>
      <c r="H66" s="65">
        <v>0.73</v>
      </c>
      <c r="I66" s="58">
        <f>F66*H66</f>
        <v>0.48870606575456044</v>
      </c>
      <c r="J66" s="58">
        <f>G66*H66</f>
        <v>0.48870606575456044</v>
      </c>
      <c r="K66" s="26"/>
      <c r="L66" s="26"/>
      <c r="M66" s="6">
        <f t="shared" si="15"/>
        <v>4</v>
      </c>
      <c r="N66" s="52"/>
      <c r="O66" s="59">
        <f>+F66-'2019-20'!F66</f>
        <v>8.0232957424013485E-3</v>
      </c>
      <c r="P66" s="60">
        <f>+F66/'2019-20'!F66-1</f>
        <v>1.2130096916041611E-2</v>
      </c>
      <c r="Q66" s="34"/>
      <c r="R66" s="59">
        <f>+I66-'2019-20'!I66</f>
        <v>5.8570058919529822E-3</v>
      </c>
      <c r="S66" s="60">
        <f>+I66/'2019-20'!I66-1</f>
        <v>1.2130096916041611E-2</v>
      </c>
      <c r="T66" s="64"/>
      <c r="U66" s="52"/>
      <c r="V66" s="52"/>
      <c r="W66" s="52"/>
      <c r="X66" s="52"/>
      <c r="Y66" s="52"/>
      <c r="Z66" s="52"/>
      <c r="AA66" s="52"/>
    </row>
    <row r="67" spans="1:27" ht="29.25" customHeight="1" outlineLevel="4" x14ac:dyDescent="0.25">
      <c r="A67" s="66" t="s">
        <v>52</v>
      </c>
      <c r="B67" s="67">
        <f>'data from cereal masterfile'!K60*(I77*0.362+(1-I77)*0.276)</f>
        <v>3.1026900289065629</v>
      </c>
      <c r="C67" s="67">
        <v>0.51152438899999997</v>
      </c>
      <c r="D67" s="67">
        <v>0.30708007500000001</v>
      </c>
      <c r="E67" s="67">
        <f t="shared" si="14"/>
        <v>3.3071343429065627</v>
      </c>
      <c r="F67" s="67">
        <f>E67</f>
        <v>3.3071343429065627</v>
      </c>
      <c r="G67" s="67">
        <f>IF(B67&gt;E67,F67,F67*(B67-D67)/E67)</f>
        <v>2.7956099539065629</v>
      </c>
      <c r="H67" s="68" t="s">
        <v>53</v>
      </c>
      <c r="I67" s="69">
        <f>(B67-D67)*0.3+C67*0.27</f>
        <v>0.97679457120196878</v>
      </c>
      <c r="J67" s="69">
        <f>(B67-D67)*0.3</f>
        <v>0.83868298617196879</v>
      </c>
      <c r="K67" s="26"/>
      <c r="L67" s="26"/>
      <c r="M67" s="6">
        <v>2</v>
      </c>
      <c r="N67" s="52"/>
      <c r="O67" s="59">
        <f>+F67-'2019-20'!F67</f>
        <v>5.1894352911151742E-2</v>
      </c>
      <c r="P67" s="70">
        <f>+F67/'2019-20'!F67-1</f>
        <v>1.5941790181566606E-2</v>
      </c>
      <c r="Q67" s="34"/>
      <c r="R67" s="59">
        <f>+I67-'2019-20'!I67</f>
        <v>1.4703655113345593E-2</v>
      </c>
      <c r="S67" s="70">
        <f>+I67/'2019-20'!I67-1</f>
        <v>1.5283020416743121E-2</v>
      </c>
      <c r="T67" s="64"/>
      <c r="U67" s="52"/>
      <c r="V67" s="52"/>
      <c r="W67" s="52"/>
      <c r="X67" s="52"/>
      <c r="Y67" s="52"/>
      <c r="Z67" s="52"/>
      <c r="AA67" s="52"/>
    </row>
    <row r="68" spans="1:27" ht="15" customHeight="1" outlineLevel="4" x14ac:dyDescent="0.25">
      <c r="A68" s="55" t="s">
        <v>54</v>
      </c>
      <c r="B68" s="56">
        <v>5.8839564405999996</v>
      </c>
      <c r="C68" s="56"/>
      <c r="D68" s="56"/>
      <c r="E68" s="56">
        <f>B68+C68-D68</f>
        <v>5.8839564405999996</v>
      </c>
      <c r="F68" s="56">
        <f>E68</f>
        <v>5.8839564405999996</v>
      </c>
      <c r="G68" s="56">
        <f>+F68</f>
        <v>5.8839564405999996</v>
      </c>
      <c r="H68" s="57">
        <v>5.3999999999999999E-2</v>
      </c>
      <c r="I68" s="58">
        <f>+F68*$H$68</f>
        <v>0.31773364779239999</v>
      </c>
      <c r="J68" s="58">
        <f>+G68*$H$68</f>
        <v>0.31773364779239999</v>
      </c>
      <c r="K68" s="26"/>
      <c r="L68" s="26"/>
      <c r="M68" s="6">
        <f t="shared" si="15"/>
        <v>1</v>
      </c>
      <c r="N68" s="52"/>
      <c r="O68" s="59">
        <f>+F68-'2019-20'!F68</f>
        <v>-0.426526769375001</v>
      </c>
      <c r="P68" s="60">
        <f>+F68/'2019-20'!F68-1</f>
        <v>-6.7590191619682716E-2</v>
      </c>
      <c r="Q68" s="34"/>
      <c r="R68" s="59">
        <f>+I68-'2019-20'!I68</f>
        <v>-2.3032445546250058E-2</v>
      </c>
      <c r="S68" s="60">
        <f>+I68/'2019-20'!I68-1</f>
        <v>-6.7590191619682716E-2</v>
      </c>
      <c r="T68" s="64"/>
      <c r="U68" s="52"/>
      <c r="V68" s="52"/>
      <c r="W68" s="52"/>
      <c r="X68" s="52"/>
      <c r="Y68" s="52"/>
      <c r="Z68" s="52"/>
      <c r="AA68" s="52"/>
    </row>
    <row r="69" spans="1:27" ht="15" customHeight="1" outlineLevel="4" x14ac:dyDescent="0.25">
      <c r="A69" s="55" t="s">
        <v>55</v>
      </c>
      <c r="B69" s="56">
        <f>('data from cereal masterfile'!K63+'data from cereal masterfile'!K65)*0.15</f>
        <v>7.3613873806998686</v>
      </c>
      <c r="C69" s="56">
        <v>4.8766744000000008E-2</v>
      </c>
      <c r="D69" s="56">
        <v>0.18432253599999998</v>
      </c>
      <c r="E69" s="56">
        <f>B69+C69-D69</f>
        <v>7.2258315886998687</v>
      </c>
      <c r="F69" s="56">
        <f>E69</f>
        <v>7.2258315886998687</v>
      </c>
      <c r="G69" s="56">
        <f>IF(B69&gt;E69,F69,F69*(B69-D69)/E69)</f>
        <v>7.2258315886998687</v>
      </c>
      <c r="H69" s="71">
        <v>0.155</v>
      </c>
      <c r="I69" s="58">
        <f>F69*H69</f>
        <v>1.1200038962484797</v>
      </c>
      <c r="J69" s="58">
        <f>G69*H69</f>
        <v>1.1200038962484797</v>
      </c>
      <c r="K69" s="26"/>
      <c r="L69" s="26"/>
      <c r="M69" s="6">
        <f t="shared" si="15"/>
        <v>2</v>
      </c>
      <c r="N69" s="52"/>
      <c r="O69" s="59">
        <f>+F69-'2019-20'!F69</f>
        <v>3.4946905865538724E-2</v>
      </c>
      <c r="P69" s="60">
        <f>+F69/'2019-20'!F69-1</f>
        <v>4.8598896251197399E-3</v>
      </c>
      <c r="Q69" s="34"/>
      <c r="R69" s="59">
        <f>+I69-'2019-20'!I69</f>
        <v>5.4167704091585556E-3</v>
      </c>
      <c r="S69" s="60">
        <f>+I69/'2019-20'!I69-1</f>
        <v>4.8598896251197399E-3</v>
      </c>
      <c r="T69" s="64"/>
      <c r="U69" s="52"/>
      <c r="V69" s="72"/>
      <c r="W69" s="73"/>
      <c r="X69" s="73"/>
      <c r="Y69" s="73"/>
      <c r="Z69" s="74"/>
      <c r="AA69" s="74"/>
    </row>
    <row r="70" spans="1:27" ht="15.75" outlineLevel="4" x14ac:dyDescent="0.25">
      <c r="A70" s="55" t="s">
        <v>56</v>
      </c>
      <c r="B70" s="56">
        <v>0</v>
      </c>
      <c r="C70" s="56">
        <v>0.25802997799999999</v>
      </c>
      <c r="D70" s="56">
        <v>9.7617480000000006E-3</v>
      </c>
      <c r="E70" s="56">
        <f>B70+C70-D70</f>
        <v>0.24826822999999998</v>
      </c>
      <c r="F70" s="56">
        <f>E70</f>
        <v>0.24826822999999998</v>
      </c>
      <c r="G70" s="56">
        <f>IF(B70&gt;E70,F70,F70*B70/E70)</f>
        <v>0</v>
      </c>
      <c r="H70" s="57">
        <v>7.4999999999999997E-2</v>
      </c>
      <c r="I70" s="58">
        <f>F70*H70</f>
        <v>1.8620117249999998E-2</v>
      </c>
      <c r="J70" s="58">
        <f>G70*H70</f>
        <v>0</v>
      </c>
      <c r="K70" s="26"/>
      <c r="L70" s="26"/>
      <c r="M70" s="6">
        <f t="shared" si="15"/>
        <v>1</v>
      </c>
      <c r="N70" s="52"/>
      <c r="O70" s="59">
        <f>+F70-'2019-20'!F70</f>
        <v>4.4495015999999998E-2</v>
      </c>
      <c r="P70" s="60">
        <f>+F70/'2019-20'!F70-1</f>
        <v>0.21835556855868221</v>
      </c>
      <c r="Q70" s="34"/>
      <c r="R70" s="59">
        <f>+I70-'2019-20'!I70</f>
        <v>3.3371262000000002E-3</v>
      </c>
      <c r="S70" s="60">
        <f>+I70/'2019-20'!I70-1</f>
        <v>0.21835556855868221</v>
      </c>
      <c r="T70" s="64"/>
      <c r="U70" s="52"/>
      <c r="V70" s="72"/>
      <c r="W70" s="73"/>
      <c r="X70" s="72"/>
      <c r="Y70" s="75"/>
      <c r="Z70" s="76"/>
      <c r="AA70" s="74"/>
    </row>
    <row r="71" spans="1:27" ht="15" customHeight="1" outlineLevel="4" x14ac:dyDescent="0.25">
      <c r="A71" s="55" t="s">
        <v>57</v>
      </c>
      <c r="B71" s="56">
        <v>5.5738399999999997</v>
      </c>
      <c r="C71" s="56">
        <v>1.0845969390000001</v>
      </c>
      <c r="D71" s="56">
        <v>0.11462511200000003</v>
      </c>
      <c r="E71" s="56">
        <f>B71+C71-D71</f>
        <v>6.5438118269999999</v>
      </c>
      <c r="F71" s="56">
        <f>E71</f>
        <v>6.5438118269999999</v>
      </c>
      <c r="G71" s="56">
        <f>IF(B71&gt;E71,F71,F71*(B71-D71)/E71)</f>
        <v>5.459214888</v>
      </c>
      <c r="H71" s="57">
        <v>7.9000000000000001E-2</v>
      </c>
      <c r="I71" s="58">
        <f>F71*H71</f>
        <v>0.51696113433299995</v>
      </c>
      <c r="J71" s="58">
        <f>G71*H71</f>
        <v>0.43127797615200003</v>
      </c>
      <c r="K71" s="26"/>
      <c r="L71" s="26"/>
      <c r="M71" s="6">
        <f t="shared" si="15"/>
        <v>1</v>
      </c>
      <c r="N71" s="52"/>
      <c r="O71" s="59">
        <f>+F71-'2019-20'!F71</f>
        <v>-0.71378495662000052</v>
      </c>
      <c r="P71" s="60">
        <f>+F71/'2019-20'!F71-1</f>
        <v>-9.8350043120468467E-2</v>
      </c>
      <c r="Q71" s="34"/>
      <c r="R71" s="59">
        <f>+I71-'2019-20'!I71</f>
        <v>-5.6389011572980041E-2</v>
      </c>
      <c r="S71" s="60">
        <f>+I71/'2019-20'!I71-1</f>
        <v>-9.8350043120468467E-2</v>
      </c>
      <c r="T71" s="64"/>
      <c r="U71" s="52"/>
      <c r="V71" s="52"/>
      <c r="W71" s="52"/>
      <c r="X71" s="52"/>
      <c r="Y71" s="52"/>
      <c r="Z71" s="52"/>
      <c r="AA71" s="52"/>
    </row>
    <row r="72" spans="1:27" ht="30" customHeight="1" outlineLevel="4" x14ac:dyDescent="0.25">
      <c r="A72" s="66" t="s">
        <v>58</v>
      </c>
      <c r="B72" s="67">
        <v>2.8895960000000001</v>
      </c>
      <c r="C72" s="67">
        <v>1.0075467339999999</v>
      </c>
      <c r="D72" s="67">
        <v>0.26483129000000005</v>
      </c>
      <c r="E72" s="67">
        <f>B72+C72-D72</f>
        <v>3.6323114439999999</v>
      </c>
      <c r="F72" s="67">
        <f>E72*0.32</f>
        <v>1.1623396620799999</v>
      </c>
      <c r="G72" s="67">
        <f>+IF(B72&gt;F72,F72,B72-D72)</f>
        <v>1.1623396620799999</v>
      </c>
      <c r="H72" s="77" t="s">
        <v>59</v>
      </c>
      <c r="I72" s="69">
        <f>G72*0.107+(F72-G72)*0.042</f>
        <v>0.12437034384255999</v>
      </c>
      <c r="J72" s="69">
        <f>G72*0.107</f>
        <v>0.12437034384255999</v>
      </c>
      <c r="K72" s="26"/>
      <c r="L72" s="26"/>
      <c r="M72" s="6">
        <v>1</v>
      </c>
      <c r="N72" s="52"/>
      <c r="O72" s="59">
        <f>+F72-'2019-20'!F72</f>
        <v>-0.16216017344096034</v>
      </c>
      <c r="P72" s="70">
        <f>+F72/'2019-20'!F72-1</f>
        <v>-0.12243125222977358</v>
      </c>
      <c r="Q72" s="34"/>
      <c r="R72" s="59">
        <f>+I72-'2019-20'!I72</f>
        <v>-1.7351138558182766E-2</v>
      </c>
      <c r="S72" s="70">
        <f>+I72/'2019-20'!I72-1</f>
        <v>-0.12243125222977369</v>
      </c>
      <c r="T72" s="64"/>
      <c r="U72" s="52"/>
      <c r="V72" s="52"/>
      <c r="W72" s="52"/>
      <c r="X72" s="52"/>
      <c r="Y72" s="52"/>
      <c r="Z72" s="52"/>
      <c r="AA72" s="52"/>
    </row>
    <row r="73" spans="1:27" ht="12.75" customHeight="1" x14ac:dyDescent="0.25">
      <c r="A73" s="20"/>
      <c r="B73" s="21"/>
      <c r="C73" s="21"/>
      <c r="D73" s="21"/>
      <c r="E73" s="21"/>
      <c r="F73" s="22"/>
      <c r="G73" s="22"/>
      <c r="H73" s="23"/>
      <c r="I73" s="24"/>
      <c r="J73" s="25"/>
      <c r="K73" s="26"/>
      <c r="L73" s="26"/>
      <c r="M73" s="6"/>
      <c r="N73" s="52"/>
      <c r="O73" s="36"/>
      <c r="P73" s="37"/>
      <c r="Q73" s="34"/>
      <c r="R73" s="36"/>
      <c r="S73" s="37"/>
      <c r="T73" s="35"/>
      <c r="U73" s="52"/>
      <c r="V73" s="52"/>
      <c r="W73" s="52"/>
      <c r="X73" s="52"/>
      <c r="Y73" s="52"/>
      <c r="Z73" s="52"/>
      <c r="AA73" s="52"/>
    </row>
    <row r="74" spans="1:27" ht="36.75" customHeight="1" x14ac:dyDescent="0.25">
      <c r="A74" s="27" t="s">
        <v>60</v>
      </c>
      <c r="B74" s="28"/>
      <c r="C74" s="28"/>
      <c r="D74" s="28"/>
      <c r="E74" s="28"/>
      <c r="F74" s="29">
        <f>SUM(F76:F80)</f>
        <v>5.6548813495666232</v>
      </c>
      <c r="G74" s="29">
        <f>SUM(G76:G80)</f>
        <v>5.5493544536223149</v>
      </c>
      <c r="H74" s="30"/>
      <c r="I74" s="30">
        <f>SUM(I76:I80)</f>
        <v>1.6215540043070065</v>
      </c>
      <c r="J74" s="30">
        <f>SUM(J76:J80)</f>
        <v>1.5555318246067027</v>
      </c>
      <c r="K74" s="31">
        <f>IF(I74=0,0,J74/I74)</f>
        <v>0.95928462479513943</v>
      </c>
      <c r="L74" s="31">
        <f>+I74/$I$89</f>
        <v>2.2554588070373045E-2</v>
      </c>
      <c r="M74" s="6"/>
      <c r="N74" s="52"/>
      <c r="O74" s="32">
        <f>+F74-'2019-20'!F74</f>
        <v>-6.1051136999999756E-2</v>
      </c>
      <c r="P74" s="33">
        <f>+F74/'2019-20'!F74-1</f>
        <v>-1.0680870906624618E-2</v>
      </c>
      <c r="Q74" s="34"/>
      <c r="R74" s="32">
        <f>+I74-'2019-20'!I74</f>
        <v>-3.968323904999993E-2</v>
      </c>
      <c r="S74" s="33">
        <f>+I74/'2019-20'!I74-1</f>
        <v>-2.3887761491434234E-2</v>
      </c>
      <c r="T74" s="35"/>
      <c r="U74" s="52"/>
      <c r="V74" s="52"/>
      <c r="W74" s="52"/>
      <c r="X74" s="52"/>
      <c r="Y74" s="52"/>
      <c r="Z74" s="52"/>
      <c r="AA74" s="52"/>
    </row>
    <row r="75" spans="1:27" ht="14.25" customHeight="1" outlineLevel="1" x14ac:dyDescent="0.25">
      <c r="A75" s="20" t="s">
        <v>61</v>
      </c>
      <c r="B75" s="21"/>
      <c r="C75" s="21"/>
      <c r="D75" s="21"/>
      <c r="E75" s="21"/>
      <c r="F75" s="22"/>
      <c r="G75" s="22"/>
      <c r="H75" s="23"/>
      <c r="I75" s="24"/>
      <c r="J75" s="25"/>
      <c r="K75" s="26"/>
      <c r="L75" s="26"/>
      <c r="M75" s="6"/>
      <c r="N75" s="52"/>
      <c r="O75" s="36"/>
      <c r="P75" s="37"/>
      <c r="Q75" s="34"/>
      <c r="R75" s="36"/>
      <c r="S75" s="37"/>
      <c r="T75" s="35"/>
      <c r="U75" s="52"/>
      <c r="V75" s="52"/>
      <c r="W75" s="52"/>
      <c r="X75" s="52"/>
      <c r="Y75" s="52"/>
      <c r="Z75" s="52"/>
      <c r="AA75" s="52"/>
    </row>
    <row r="76" spans="1:27" ht="15" customHeight="1" outlineLevel="1" x14ac:dyDescent="0.25">
      <c r="A76" s="55" t="s">
        <v>62</v>
      </c>
      <c r="B76" s="56">
        <v>0.39500000000000002</v>
      </c>
      <c r="C76" s="56">
        <v>0.21081088000000001</v>
      </c>
      <c r="D76" s="56">
        <v>0.20048037899999999</v>
      </c>
      <c r="E76" s="56">
        <f>B76+C76-D76</f>
        <v>0.40533050100000007</v>
      </c>
      <c r="F76" s="56">
        <f>E76</f>
        <v>0.40533050100000007</v>
      </c>
      <c r="G76" s="56">
        <f>IF(B76&gt;E76,F76,F76*B76/E76)</f>
        <v>0.39500000000000002</v>
      </c>
      <c r="H76" s="65">
        <v>0.65</v>
      </c>
      <c r="I76" s="58">
        <f>F76*H76</f>
        <v>0.26346482565000007</v>
      </c>
      <c r="J76" s="58">
        <f>G76*H76</f>
        <v>0.25675000000000003</v>
      </c>
      <c r="K76" s="26"/>
      <c r="L76" s="26"/>
      <c r="M76" s="6">
        <f>+IF(H76&lt;15%,1,IF(H76&lt;30%,2,IF(H76&lt;50%,3,4)))</f>
        <v>4</v>
      </c>
      <c r="N76" s="52"/>
      <c r="O76" s="59">
        <f>+F76-'2019-20'!F76</f>
        <v>-6.1051137000000033E-2</v>
      </c>
      <c r="P76" s="60">
        <f>+F76/'2019-20'!F76-1</f>
        <v>-0.13090381787286409</v>
      </c>
      <c r="Q76" s="34"/>
      <c r="R76" s="59">
        <f>+I76-'2019-20'!I76</f>
        <v>-3.9683239049999985E-2</v>
      </c>
      <c r="S76" s="60">
        <f>+I76/'2019-20'!I76-1</f>
        <v>-0.13090381787286398</v>
      </c>
      <c r="T76" s="34"/>
      <c r="U76" s="52"/>
      <c r="V76" s="52"/>
      <c r="W76" s="52"/>
      <c r="X76" s="52"/>
      <c r="Y76" s="52"/>
      <c r="Z76" s="52"/>
      <c r="AA76" s="52"/>
    </row>
    <row r="77" spans="1:27" ht="15.75" outlineLevel="1" x14ac:dyDescent="0.25">
      <c r="A77" s="55" t="s">
        <v>63</v>
      </c>
      <c r="B77" s="56">
        <v>2.1021071257068615</v>
      </c>
      <c r="C77" s="56">
        <v>9.8089683999999983E-2</v>
      </c>
      <c r="D77" s="56">
        <v>0.825004246</v>
      </c>
      <c r="E77" s="56">
        <f>B77+C77-D77</f>
        <v>1.3751925637068616</v>
      </c>
      <c r="F77" s="56">
        <v>0.57699999999999996</v>
      </c>
      <c r="G77" s="56">
        <f>+F77</f>
        <v>0.57699999999999996</v>
      </c>
      <c r="H77" s="57">
        <v>0.125</v>
      </c>
      <c r="I77" s="58">
        <f>F77*H77</f>
        <v>7.2124999999999995E-2</v>
      </c>
      <c r="J77" s="58">
        <f>G77*H77</f>
        <v>7.2124999999999995E-2</v>
      </c>
      <c r="K77" s="26"/>
      <c r="L77" s="26"/>
      <c r="M77" s="6">
        <f>+IF(H77&lt;15%,1,IF(H77&lt;30%,2,IF(H77&lt;50%,3,4)))</f>
        <v>1</v>
      </c>
      <c r="N77" s="52"/>
      <c r="O77" s="59">
        <f>+F77-'2019-20'!F77</f>
        <v>0</v>
      </c>
      <c r="P77" s="60">
        <f>+F77/'2019-20'!F77-1</f>
        <v>0</v>
      </c>
      <c r="Q77" s="34"/>
      <c r="R77" s="59">
        <f>+I77-'2019-20'!I77</f>
        <v>0</v>
      </c>
      <c r="S77" s="60">
        <f>+I77/'2019-20'!I77-1</f>
        <v>0</v>
      </c>
      <c r="T77" s="34"/>
      <c r="U77" s="52"/>
      <c r="V77" s="52"/>
      <c r="W77" s="52"/>
      <c r="X77" s="52"/>
      <c r="Y77" s="52"/>
      <c r="Z77" s="52"/>
      <c r="AA77" s="52"/>
    </row>
    <row r="78" spans="1:27" ht="15" customHeight="1" outlineLevel="1" x14ac:dyDescent="0.25">
      <c r="A78" s="55" t="s">
        <v>64</v>
      </c>
      <c r="B78" s="56">
        <v>1.4554277790000001</v>
      </c>
      <c r="C78" s="56">
        <v>2.6823431999999998E-2</v>
      </c>
      <c r="D78" s="56">
        <v>0.82203789599999999</v>
      </c>
      <c r="E78" s="56">
        <f>B78+C78-D78</f>
        <v>0.66021331500000013</v>
      </c>
      <c r="F78" s="56">
        <v>0.14499999999999999</v>
      </c>
      <c r="G78" s="56">
        <f>+F78</f>
        <v>0.14499999999999999</v>
      </c>
      <c r="H78" s="61">
        <v>0.34</v>
      </c>
      <c r="I78" s="58">
        <f>F78*H78</f>
        <v>4.9300000000000004E-2</v>
      </c>
      <c r="J78" s="58">
        <f>G78*H78</f>
        <v>4.9300000000000004E-2</v>
      </c>
      <c r="K78" s="26"/>
      <c r="L78" s="26"/>
      <c r="M78" s="6">
        <f>+IF(H78&lt;15%,1,IF(H78&lt;30%,2,IF(H78&lt;50%,3,4)))</f>
        <v>3</v>
      </c>
      <c r="N78" s="52"/>
      <c r="O78" s="59">
        <f>+F78-'2019-20'!F78</f>
        <v>0</v>
      </c>
      <c r="P78" s="60">
        <f>+F78/'2019-20'!F78-1</f>
        <v>0</v>
      </c>
      <c r="Q78" s="34"/>
      <c r="R78" s="59">
        <f>+I78-'2019-20'!I78</f>
        <v>0</v>
      </c>
      <c r="S78" s="60">
        <f>+I78/'2019-20'!I78-1</f>
        <v>0</v>
      </c>
      <c r="T78" s="34"/>
      <c r="U78" s="52"/>
      <c r="V78" s="52"/>
      <c r="W78" s="52"/>
      <c r="X78" s="52"/>
      <c r="Y78" s="52"/>
      <c r="Z78" s="52"/>
      <c r="AA78" s="52"/>
    </row>
    <row r="79" spans="1:27" ht="15" customHeight="1" outlineLevel="1" x14ac:dyDescent="0.25">
      <c r="A79" s="55" t="s">
        <v>65</v>
      </c>
      <c r="B79" s="56">
        <v>2.6832983356070965</v>
      </c>
      <c r="C79" s="56">
        <v>0.10496182400000001</v>
      </c>
      <c r="D79" s="56">
        <v>1.1343339510000001</v>
      </c>
      <c r="E79" s="56">
        <v>1.8521752764091519</v>
      </c>
      <c r="F79" s="56">
        <v>1.5275508485666232</v>
      </c>
      <c r="G79" s="56">
        <v>1.4323544536223152</v>
      </c>
      <c r="H79" s="65">
        <v>0.623</v>
      </c>
      <c r="I79" s="58">
        <f>F79*H79</f>
        <v>0.95166417865700625</v>
      </c>
      <c r="J79" s="58">
        <f>G79*H79</f>
        <v>0.8923568246067024</v>
      </c>
      <c r="K79" s="78"/>
      <c r="L79" s="78"/>
      <c r="M79" s="6">
        <f>+IF(H79&lt;15%,1,IF(H79&lt;30%,2,IF(H79&lt;50%,3,4)))</f>
        <v>4</v>
      </c>
      <c r="N79" s="52"/>
      <c r="O79" s="59">
        <f>+F79-'2019-20'!F79</f>
        <v>0</v>
      </c>
      <c r="P79" s="60">
        <f>+F79/'2019-20'!F79-1</f>
        <v>0</v>
      </c>
      <c r="Q79" s="34"/>
      <c r="R79" s="59">
        <f>+I79-'2019-20'!I79</f>
        <v>0</v>
      </c>
      <c r="S79" s="60">
        <f>+I79/'2019-20'!I79-1</f>
        <v>0</v>
      </c>
      <c r="T79" s="34"/>
      <c r="U79" s="52"/>
      <c r="V79" s="52"/>
      <c r="W79" s="52"/>
      <c r="X79" s="52"/>
      <c r="Y79" s="52"/>
      <c r="Z79" s="52"/>
      <c r="AA79" s="52"/>
    </row>
    <row r="80" spans="1:27" ht="15" customHeight="1" outlineLevel="1" x14ac:dyDescent="0.25">
      <c r="A80" s="55" t="s">
        <v>66</v>
      </c>
      <c r="B80" s="79"/>
      <c r="C80" s="79"/>
      <c r="D80" s="79"/>
      <c r="E80" s="79"/>
      <c r="F80" s="79">
        <v>3</v>
      </c>
      <c r="G80" s="79">
        <v>3</v>
      </c>
      <c r="H80" s="57">
        <f>0.095</f>
        <v>9.5000000000000001E-2</v>
      </c>
      <c r="I80" s="58">
        <f>F80*H80</f>
        <v>0.28500000000000003</v>
      </c>
      <c r="J80" s="58">
        <f>G80*H80</f>
        <v>0.28500000000000003</v>
      </c>
      <c r="K80" s="26"/>
      <c r="L80" s="26"/>
      <c r="M80" s="6">
        <f>+IF(H80&lt;15%,1,IF(H80&lt;30%,2,IF(H80&lt;50%,3,4)))</f>
        <v>1</v>
      </c>
      <c r="O80" s="59">
        <f>+F80-'2019-20'!F80</f>
        <v>0</v>
      </c>
      <c r="P80" s="60">
        <f>+F80/'2019-20'!F80-1</f>
        <v>0</v>
      </c>
      <c r="Q80" s="34"/>
      <c r="R80" s="59">
        <f>+I80-'2019-20'!I80</f>
        <v>0</v>
      </c>
      <c r="S80" s="60">
        <f>+I80/'2019-20'!I80-1</f>
        <v>0</v>
      </c>
      <c r="T80" s="34"/>
    </row>
    <row r="81" spans="1:27" ht="12.75" customHeight="1" x14ac:dyDescent="0.25">
      <c r="A81" s="80"/>
      <c r="B81" s="24"/>
      <c r="C81" s="24"/>
      <c r="D81" s="24"/>
      <c r="E81" s="24"/>
      <c r="F81" s="25"/>
      <c r="G81" s="25"/>
      <c r="H81" s="81"/>
      <c r="I81" s="24"/>
      <c r="J81" s="25"/>
      <c r="K81" s="26"/>
      <c r="L81" s="26"/>
      <c r="M81" s="6"/>
      <c r="O81" s="36"/>
      <c r="P81" s="37"/>
      <c r="Q81" s="34"/>
      <c r="R81" s="36"/>
      <c r="S81" s="37"/>
      <c r="T81" s="35"/>
    </row>
    <row r="82" spans="1:27" ht="35.25" customHeight="1" x14ac:dyDescent="0.25">
      <c r="A82" s="27" t="s">
        <v>67</v>
      </c>
      <c r="B82" s="28"/>
      <c r="C82" s="28"/>
      <c r="D82" s="28"/>
      <c r="E82" s="28"/>
      <c r="F82" s="82">
        <f>SUM(F84:F87)</f>
        <v>957.65628030871426</v>
      </c>
      <c r="G82" s="82">
        <f>SUM(G84:G87)</f>
        <v>957.65628030871426</v>
      </c>
      <c r="H82" s="30"/>
      <c r="I82" s="82">
        <f>SUM(I84:I87)</f>
        <v>29.852034457740238</v>
      </c>
      <c r="J82" s="82">
        <f>SUM(J84:J87)</f>
        <v>29.852034457740238</v>
      </c>
      <c r="K82" s="31">
        <f>IF(I82=0,0,J82/I82)</f>
        <v>1</v>
      </c>
      <c r="L82" s="31">
        <f>+I82/$I$89</f>
        <v>0.41521919002917035</v>
      </c>
      <c r="M82" s="6"/>
      <c r="O82" s="32">
        <f>+F82-'2019-20'!F82</f>
        <v>43.399084952142857</v>
      </c>
      <c r="P82" s="33">
        <f>+F82/'2019-20'!F82-1</f>
        <v>4.7469229854096628E-2</v>
      </c>
      <c r="Q82" s="34"/>
      <c r="R82" s="32">
        <f>+I82-'2019-20'!I82</f>
        <v>1.3284396695014919</v>
      </c>
      <c r="S82" s="33">
        <f>+I82/'2019-20'!I82-1</f>
        <v>4.6573360733944025E-2</v>
      </c>
      <c r="T82" s="35"/>
    </row>
    <row r="83" spans="1:27" ht="7.5" customHeight="1" outlineLevel="1" x14ac:dyDescent="0.25">
      <c r="A83" s="83"/>
      <c r="B83" s="84"/>
      <c r="C83" s="84"/>
      <c r="D83" s="84"/>
      <c r="E83" s="84"/>
      <c r="F83" s="85"/>
      <c r="G83" s="85"/>
      <c r="H83" s="86"/>
      <c r="I83" s="87"/>
      <c r="J83" s="88"/>
      <c r="K83" s="89"/>
      <c r="L83" s="90"/>
      <c r="M83" s="6"/>
      <c r="N83" s="52"/>
      <c r="O83" s="91"/>
      <c r="P83" s="92"/>
      <c r="Q83" s="34"/>
      <c r="R83" s="91"/>
      <c r="S83" s="92"/>
      <c r="T83" s="35"/>
    </row>
    <row r="84" spans="1:27" ht="15" customHeight="1" outlineLevel="1" x14ac:dyDescent="0.25">
      <c r="A84" s="55" t="s">
        <v>68</v>
      </c>
      <c r="B84" s="79">
        <v>628.75894081603519</v>
      </c>
      <c r="C84" s="79"/>
      <c r="D84" s="79"/>
      <c r="E84" s="79">
        <f>+B84+C84-D84</f>
        <v>628.75894081603519</v>
      </c>
      <c r="F84" s="79">
        <f t="shared" ref="F84:G86" si="16">+E84</f>
        <v>628.75894081603519</v>
      </c>
      <c r="G84" s="79">
        <f t="shared" si="16"/>
        <v>628.75894081603519</v>
      </c>
      <c r="H84" s="57">
        <v>2.6066712037040814E-2</v>
      </c>
      <c r="I84" s="79">
        <f>+F84*H84</f>
        <v>16.389678250966377</v>
      </c>
      <c r="J84" s="79">
        <f>+H84*G84</f>
        <v>16.389678250966377</v>
      </c>
      <c r="K84" s="93"/>
      <c r="L84" s="93"/>
      <c r="M84" s="6">
        <f>+IF(H84&lt;15%,1,IF(H84&lt;30%,2,IF(H84&lt;50%,3,4)))</f>
        <v>1</v>
      </c>
      <c r="O84" s="59">
        <f>+F84-'2019-20'!F84</f>
        <v>35.475661353205055</v>
      </c>
      <c r="P84" s="60">
        <f>+F84/'2019-20'!F84-1</f>
        <v>5.9795484857293468E-2</v>
      </c>
      <c r="Q84" s="34"/>
      <c r="R84" s="59">
        <f>+I84-'2019-20'!I84</f>
        <v>0.92473384881757248</v>
      </c>
      <c r="S84" s="60">
        <f>+I84/'2019-20'!I84-1</f>
        <v>5.9795484857293246E-2</v>
      </c>
      <c r="T84" s="34"/>
    </row>
    <row r="85" spans="1:27" s="96" customFormat="1" ht="15" customHeight="1" outlineLevel="1" x14ac:dyDescent="0.2">
      <c r="A85" s="55" t="s">
        <v>69</v>
      </c>
      <c r="B85" s="79">
        <v>243.5368</v>
      </c>
      <c r="C85" s="79"/>
      <c r="D85" s="79"/>
      <c r="E85" s="79">
        <f>+B85+C85-D85</f>
        <v>243.5368</v>
      </c>
      <c r="F85" s="79">
        <f t="shared" si="16"/>
        <v>243.5368</v>
      </c>
      <c r="G85" s="79">
        <f t="shared" si="16"/>
        <v>243.5368</v>
      </c>
      <c r="H85" s="57">
        <v>2.9487499999999996E-2</v>
      </c>
      <c r="I85" s="79">
        <f>+F85*H85</f>
        <v>7.1812913899999993</v>
      </c>
      <c r="J85" s="79">
        <f>+H85*G85</f>
        <v>7.1812913899999993</v>
      </c>
      <c r="K85" s="94"/>
      <c r="L85" s="94"/>
      <c r="M85" s="6">
        <f>+IF(H85&lt;15%,1,IF(H85&lt;30%,2,IF(H85&lt;50%,3,4)))</f>
        <v>1</v>
      </c>
      <c r="N85" s="95"/>
      <c r="O85" s="59">
        <f>+F85-'2019-20'!F85</f>
        <v>3.7340800000000058</v>
      </c>
      <c r="P85" s="60">
        <f>+F85/'2019-20'!F85-1</f>
        <v>1.5571466412057422E-2</v>
      </c>
      <c r="Q85" s="34"/>
      <c r="R85" s="59">
        <f>+I85-'2019-20'!I85</f>
        <v>0.11010868400000007</v>
      </c>
      <c r="S85" s="60">
        <f>+I85/'2019-20'!I85-1</f>
        <v>1.5571466412057422E-2</v>
      </c>
      <c r="T85" s="34"/>
      <c r="U85" s="95"/>
      <c r="V85" s="95"/>
      <c r="W85" s="95"/>
      <c r="X85" s="95"/>
      <c r="Y85" s="95"/>
      <c r="Z85" s="95"/>
      <c r="AA85" s="95"/>
    </row>
    <row r="86" spans="1:27" ht="15" customHeight="1" outlineLevel="1" x14ac:dyDescent="0.25">
      <c r="A86" s="55" t="s">
        <v>70</v>
      </c>
      <c r="B86" s="79">
        <v>84.067690469679093</v>
      </c>
      <c r="C86" s="79"/>
      <c r="D86" s="79"/>
      <c r="E86" s="79">
        <f>+B86+C86-D86</f>
        <v>84.067690469679093</v>
      </c>
      <c r="F86" s="79">
        <f t="shared" si="16"/>
        <v>84.067690469679093</v>
      </c>
      <c r="G86" s="79">
        <f t="shared" si="16"/>
        <v>84.067690469679093</v>
      </c>
      <c r="H86" s="57">
        <v>7.2099999999999997E-2</v>
      </c>
      <c r="I86" s="79">
        <f>+F86*H86</f>
        <v>6.0612804828638627</v>
      </c>
      <c r="J86" s="79">
        <f>+H86*G86</f>
        <v>6.0612804828638627</v>
      </c>
      <c r="K86" s="94"/>
      <c r="L86" s="94"/>
      <c r="M86" s="6">
        <f>+IF(H86&lt;15%,1,IF(H86&lt;30%,2,IF(H86&lt;50%,3,4)))</f>
        <v>1</v>
      </c>
      <c r="O86" s="59">
        <f>+F86-'2019-20'!F86</f>
        <v>4.2757025039378647</v>
      </c>
      <c r="P86" s="60">
        <f>+F86/'2019-20'!F86-1</f>
        <v>5.3585611951085133E-2</v>
      </c>
      <c r="Q86" s="34"/>
      <c r="R86" s="59">
        <f>+I86-'2019-20'!I86</f>
        <v>0.30827815053392005</v>
      </c>
      <c r="S86" s="60">
        <f>+I86/'2019-20'!I86-1</f>
        <v>5.3585611951085133E-2</v>
      </c>
      <c r="T86" s="34"/>
    </row>
    <row r="87" spans="1:27" ht="14.25" customHeight="1" outlineLevel="1" x14ac:dyDescent="0.25">
      <c r="A87" s="55" t="s">
        <v>71</v>
      </c>
      <c r="B87" s="56">
        <v>3.4380000000000002</v>
      </c>
      <c r="C87" s="56">
        <v>3.4543254000000002E-2</v>
      </c>
      <c r="D87" s="56">
        <v>2.1796942309999996</v>
      </c>
      <c r="E87" s="56">
        <f>B87+C87-D87</f>
        <v>1.2928490230000005</v>
      </c>
      <c r="F87" s="56">
        <f>E87</f>
        <v>1.2928490230000005</v>
      </c>
      <c r="G87" s="56">
        <f>IF(B87&gt;E87,F87,F87*B87/E87)</f>
        <v>1.2928490230000005</v>
      </c>
      <c r="H87" s="71">
        <v>0.17</v>
      </c>
      <c r="I87" s="56">
        <f>F87*H87</f>
        <v>0.2197843339100001</v>
      </c>
      <c r="J87" s="56">
        <f>G87*H87</f>
        <v>0.2197843339100001</v>
      </c>
      <c r="K87" s="94"/>
      <c r="L87" s="94"/>
      <c r="M87" s="6">
        <f>+IF(H87&lt;15%,1,IF(H87&lt;30%,2,IF(H87&lt;50%,3,4)))</f>
        <v>2</v>
      </c>
      <c r="O87" s="59">
        <f>+F87-'2019-20'!F87</f>
        <v>-8.635890500000043E-2</v>
      </c>
      <c r="P87" s="60">
        <f>+F87/'2019-20'!F87-1</f>
        <v>-6.2614855415767612E-2</v>
      </c>
      <c r="Q87" s="34"/>
      <c r="R87" s="59">
        <f>+I87-'2019-20'!I87</f>
        <v>-1.4681013850000063E-2</v>
      </c>
      <c r="S87" s="60">
        <f>+I87/'2019-20'!I87-1</f>
        <v>-6.2614855415767501E-2</v>
      </c>
      <c r="T87" s="34"/>
    </row>
    <row r="88" spans="1:27" ht="12.75" customHeight="1" x14ac:dyDescent="0.25">
      <c r="A88" s="80"/>
      <c r="B88" s="21"/>
      <c r="C88" s="21"/>
      <c r="D88" s="21"/>
      <c r="E88" s="21"/>
      <c r="F88" s="22"/>
      <c r="G88" s="22"/>
      <c r="H88" s="23"/>
      <c r="I88" s="24"/>
      <c r="J88" s="25"/>
      <c r="K88" s="26"/>
      <c r="L88" s="26"/>
      <c r="M88" s="6"/>
      <c r="O88" s="36"/>
      <c r="P88" s="37"/>
      <c r="Q88" s="34"/>
      <c r="R88" s="36"/>
      <c r="S88" s="37"/>
      <c r="T88" s="34"/>
    </row>
    <row r="89" spans="1:27" ht="36.75" customHeight="1" x14ac:dyDescent="0.25">
      <c r="A89" s="27" t="s">
        <v>72</v>
      </c>
      <c r="B89" s="28"/>
      <c r="C89" s="28"/>
      <c r="D89" s="28"/>
      <c r="E89" s="28"/>
      <c r="F89" s="82"/>
      <c r="G89" s="82"/>
      <c r="H89" s="30"/>
      <c r="I89" s="82">
        <f>+I74+I82+I34+I6</f>
        <v>71.89464064905826</v>
      </c>
      <c r="J89" s="82">
        <f>+J74+J82+J34+J6</f>
        <v>55.538115507438576</v>
      </c>
      <c r="K89" s="31">
        <f>IF(I89=0,0,J89/I89)</f>
        <v>0.7724931233544744</v>
      </c>
      <c r="L89" s="31"/>
      <c r="M89" s="6"/>
      <c r="O89" s="32"/>
      <c r="P89" s="33"/>
      <c r="Q89" s="34"/>
      <c r="R89" s="32">
        <f>+I89-'2019-20'!I89</f>
        <v>1.3601933442799492</v>
      </c>
      <c r="S89" s="33">
        <f>+I89/'2019-20'!I89-1</f>
        <v>1.9284100127737291E-2</v>
      </c>
      <c r="T89" s="35"/>
    </row>
    <row r="90" spans="1:27" x14ac:dyDescent="0.25">
      <c r="A90" s="97" t="s">
        <v>73</v>
      </c>
      <c r="B90" s="98"/>
      <c r="C90" s="98"/>
      <c r="D90" s="98"/>
      <c r="E90" s="98"/>
      <c r="F90" s="98"/>
      <c r="G90" s="98"/>
      <c r="H90" s="99"/>
      <c r="I90" s="5"/>
      <c r="J90" s="5"/>
      <c r="K90" s="5"/>
      <c r="L90" s="5"/>
      <c r="M90" s="6"/>
      <c r="O90" s="74"/>
      <c r="P90" s="52"/>
    </row>
    <row r="91" spans="1:27" x14ac:dyDescent="0.25">
      <c r="A91" s="100" t="s">
        <v>74</v>
      </c>
      <c r="B91" s="101"/>
      <c r="C91" s="102"/>
      <c r="D91" s="102"/>
      <c r="E91" s="103"/>
      <c r="F91" s="103"/>
      <c r="G91" s="103"/>
      <c r="H91" s="104">
        <v>1</v>
      </c>
      <c r="I91" s="105">
        <f t="shared" ref="I91:J94" si="17">+SUMIF($M$7:$M$89,$H91,I$7:I$89)</f>
        <v>46.611700722248202</v>
      </c>
      <c r="J91" s="105">
        <f t="shared" si="17"/>
        <v>45.214205642509199</v>
      </c>
      <c r="K91" s="106">
        <f>+J91/I91</f>
        <v>0.97001836324174362</v>
      </c>
      <c r="L91" s="5"/>
      <c r="M91" s="6"/>
      <c r="O91" s="74"/>
      <c r="P91" s="52"/>
      <c r="R91" s="59">
        <f>+I91-'2019-20'!I91</f>
        <v>1.3147028554740814</v>
      </c>
      <c r="S91" s="60">
        <f>+I91/'2019-20'!I91-1</f>
        <v>2.9024061579993488E-2</v>
      </c>
    </row>
    <row r="92" spans="1:27" x14ac:dyDescent="0.25">
      <c r="A92" s="107" t="s">
        <v>75</v>
      </c>
      <c r="B92" s="108"/>
      <c r="C92" s="109"/>
      <c r="D92" s="109"/>
      <c r="E92" s="110"/>
      <c r="F92" s="110"/>
      <c r="G92" s="110"/>
      <c r="H92" s="111">
        <v>2</v>
      </c>
      <c r="I92" s="112">
        <f t="shared" si="17"/>
        <v>3.9620908529344825</v>
      </c>
      <c r="J92" s="112">
        <f t="shared" si="17"/>
        <v>3.53924399500541</v>
      </c>
      <c r="K92" s="113">
        <f>+J92/I92</f>
        <v>0.89327683952126058</v>
      </c>
      <c r="L92" s="5"/>
      <c r="M92" s="6"/>
      <c r="O92" s="74"/>
      <c r="P92" s="52"/>
      <c r="R92" s="59">
        <f>+I92-'2019-20'!I92</f>
        <v>0.15006106541390807</v>
      </c>
      <c r="S92" s="60">
        <f>+I92/'2019-20'!I92-1</f>
        <v>3.9365134528896562E-2</v>
      </c>
    </row>
    <row r="93" spans="1:27" x14ac:dyDescent="0.25">
      <c r="A93" s="114" t="s">
        <v>76</v>
      </c>
      <c r="B93" s="110"/>
      <c r="C93" s="110"/>
      <c r="D93" s="110"/>
      <c r="E93" s="110"/>
      <c r="F93" s="110"/>
      <c r="G93" s="110"/>
      <c r="H93" s="115">
        <v>3</v>
      </c>
      <c r="I93" s="112">
        <f t="shared" si="17"/>
        <v>19.314677513107974</v>
      </c>
      <c r="J93" s="112">
        <f t="shared" si="17"/>
        <v>5.0320164888566525</v>
      </c>
      <c r="K93" s="113">
        <f>+J93/I93</f>
        <v>0.26052811316376662</v>
      </c>
      <c r="L93" s="5"/>
      <c r="M93" s="6"/>
      <c r="O93" s="74"/>
      <c r="P93" s="52"/>
      <c r="R93" s="59">
        <f>+I93-'2019-20'!I93</f>
        <v>-0.12142952344997937</v>
      </c>
      <c r="S93" s="60">
        <f>+I93/'2019-20'!I93-1</f>
        <v>-6.2476257833721238E-3</v>
      </c>
    </row>
    <row r="94" spans="1:27" x14ac:dyDescent="0.25">
      <c r="A94" s="116" t="s">
        <v>77</v>
      </c>
      <c r="B94" s="117"/>
      <c r="C94" s="117"/>
      <c r="D94" s="117"/>
      <c r="E94" s="117"/>
      <c r="F94" s="117"/>
      <c r="G94" s="117"/>
      <c r="H94" s="118">
        <v>4</v>
      </c>
      <c r="I94" s="119">
        <f t="shared" si="17"/>
        <v>1.8913350700615668</v>
      </c>
      <c r="J94" s="119">
        <f t="shared" si="17"/>
        <v>1.6378128903612628</v>
      </c>
      <c r="K94" s="120">
        <f>+J94/I94</f>
        <v>0.8659559674468198</v>
      </c>
      <c r="L94" s="5"/>
      <c r="M94" s="6"/>
      <c r="O94" s="74"/>
      <c r="P94" s="52"/>
      <c r="R94" s="59">
        <f>+I94-'2019-20'!I94</f>
        <v>-3.3826233158046781E-2</v>
      </c>
      <c r="S94" s="60">
        <f>+I94/'2019-20'!I94-1</f>
        <v>-1.757059686452056E-2</v>
      </c>
    </row>
    <row r="95" spans="1:27" ht="25.5" customHeight="1" x14ac:dyDescent="0.25">
      <c r="A95" s="303" t="s">
        <v>78</v>
      </c>
      <c r="B95" s="304"/>
      <c r="C95" s="304"/>
      <c r="D95" s="304"/>
      <c r="E95" s="304"/>
      <c r="F95" s="304"/>
      <c r="G95" s="304"/>
      <c r="H95" s="304"/>
      <c r="I95" s="304"/>
      <c r="J95" s="304"/>
      <c r="K95" s="304"/>
      <c r="L95" s="304"/>
      <c r="M95" s="6"/>
      <c r="R95" s="5"/>
      <c r="S95" s="5"/>
    </row>
    <row r="96" spans="1:27" x14ac:dyDescent="0.25">
      <c r="A96" s="5"/>
      <c r="B96" s="98"/>
      <c r="C96" s="98"/>
      <c r="D96" s="98"/>
      <c r="E96" s="98"/>
      <c r="F96" s="98"/>
      <c r="G96" s="98"/>
      <c r="H96" s="99"/>
      <c r="I96" s="5"/>
      <c r="J96" s="5"/>
      <c r="K96" s="5"/>
      <c r="L96" s="5"/>
      <c r="M96" s="6"/>
      <c r="R96" s="5"/>
      <c r="S96" s="5"/>
    </row>
  </sheetData>
  <mergeCells count="6">
    <mergeCell ref="R3:S3"/>
    <mergeCell ref="A95:L95"/>
    <mergeCell ref="B3:G3"/>
    <mergeCell ref="H3:H4"/>
    <mergeCell ref="I3:J3"/>
    <mergeCell ref="O3:P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Z96"/>
  <sheetViews>
    <sheetView zoomScale="80" zoomScaleNormal="80" workbookViewId="0"/>
  </sheetViews>
  <sheetFormatPr defaultRowHeight="15" outlineLevelRow="4" outlineLevelCol="1" x14ac:dyDescent="0.25"/>
  <cols>
    <col min="1" max="1" width="46.42578125" customWidth="1"/>
    <col min="2" max="2" width="12.7109375" style="121" customWidth="1" outlineLevel="1"/>
    <col min="3" max="3" width="10.28515625" style="121" customWidth="1" outlineLevel="1"/>
    <col min="4" max="4" width="10.85546875" style="121" customWidth="1" outlineLevel="1"/>
    <col min="5" max="5" width="13.140625" style="121" customWidth="1" outlineLevel="1"/>
    <col min="6" max="6" width="13.5703125" style="121" customWidth="1"/>
    <col min="7" max="7" width="14.85546875" style="121" customWidth="1"/>
    <col min="8" max="8" width="11.140625" style="122" customWidth="1"/>
    <col min="9" max="11" width="12.28515625" customWidth="1"/>
    <col min="12" max="12" width="13.28515625" customWidth="1"/>
    <col min="13" max="13" width="5.5703125" style="123" customWidth="1"/>
    <col min="15" max="15" width="12.42578125" customWidth="1"/>
  </cols>
  <sheetData>
    <row r="1" spans="1:19" ht="15.75" x14ac:dyDescent="0.25">
      <c r="A1" s="1" t="str">
        <f>"Updated on " &amp; TEXT(Updates!B2,"[$-0809]dd mmm yyyy")</f>
        <v>Updated on 11 Nov 2022</v>
      </c>
      <c r="B1" s="2"/>
      <c r="C1" s="2"/>
      <c r="D1" s="2"/>
      <c r="E1" s="2"/>
      <c r="F1" s="2"/>
      <c r="G1" s="2"/>
      <c r="H1" s="3"/>
      <c r="I1" s="4"/>
      <c r="J1" s="4"/>
      <c r="K1" s="4"/>
      <c r="L1" s="5"/>
      <c r="M1" s="6"/>
    </row>
    <row r="2" spans="1:19" ht="45" x14ac:dyDescent="0.25">
      <c r="A2" s="8" t="s">
        <v>80</v>
      </c>
      <c r="B2" s="9"/>
      <c r="C2" s="9"/>
      <c r="D2" s="9"/>
      <c r="E2" s="9"/>
      <c r="F2" s="9"/>
      <c r="G2" s="9"/>
      <c r="H2" s="9"/>
      <c r="I2" s="9"/>
      <c r="J2" s="9"/>
      <c r="K2" s="9"/>
      <c r="L2" s="5"/>
      <c r="M2" s="6"/>
    </row>
    <row r="3" spans="1:19" ht="44.25" customHeight="1" x14ac:dyDescent="0.25">
      <c r="A3" s="10" t="s">
        <v>81</v>
      </c>
      <c r="B3" s="305" t="s">
        <v>2</v>
      </c>
      <c r="C3" s="306"/>
      <c r="D3" s="306"/>
      <c r="E3" s="306"/>
      <c r="F3" s="306"/>
      <c r="G3" s="307"/>
      <c r="H3" s="308" t="s">
        <v>3</v>
      </c>
      <c r="I3" s="301" t="s">
        <v>4</v>
      </c>
      <c r="J3" s="302"/>
      <c r="K3" s="11"/>
      <c r="L3" s="12"/>
      <c r="M3" s="13"/>
    </row>
    <row r="4" spans="1:19" ht="50.25" customHeight="1" x14ac:dyDescent="0.25">
      <c r="A4" s="14" t="s">
        <v>6</v>
      </c>
      <c r="B4" s="15" t="s">
        <v>7</v>
      </c>
      <c r="C4" s="15" t="s">
        <v>8</v>
      </c>
      <c r="D4" s="16" t="s">
        <v>9</v>
      </c>
      <c r="E4" s="16" t="s">
        <v>10</v>
      </c>
      <c r="F4" s="16" t="s">
        <v>11</v>
      </c>
      <c r="G4" s="16" t="s">
        <v>12</v>
      </c>
      <c r="H4" s="309"/>
      <c r="I4" s="17" t="s">
        <v>13</v>
      </c>
      <c r="J4" s="17" t="s">
        <v>14</v>
      </c>
      <c r="K4" s="16" t="s">
        <v>15</v>
      </c>
      <c r="L4" s="15" t="s">
        <v>16</v>
      </c>
      <c r="M4" s="13"/>
    </row>
    <row r="5" spans="1:19" ht="7.5" customHeight="1" x14ac:dyDescent="0.25">
      <c r="A5" s="20"/>
      <c r="B5" s="21"/>
      <c r="C5" s="21"/>
      <c r="D5" s="21"/>
      <c r="E5" s="21"/>
      <c r="F5" s="22"/>
      <c r="G5" s="22"/>
      <c r="H5" s="23"/>
      <c r="I5" s="24"/>
      <c r="J5" s="25"/>
      <c r="K5" s="26"/>
      <c r="L5" s="26"/>
      <c r="M5" s="6"/>
    </row>
    <row r="6" spans="1:19" ht="36" customHeight="1" x14ac:dyDescent="0.25">
      <c r="A6" s="27" t="s">
        <v>18</v>
      </c>
      <c r="B6" s="28"/>
      <c r="C6" s="28"/>
      <c r="D6" s="28"/>
      <c r="E6" s="28"/>
      <c r="F6" s="29">
        <f>F9+F21+F27</f>
        <v>167.37666482564418</v>
      </c>
      <c r="G6" s="29">
        <f>G9+G21+G27</f>
        <v>147.56074531771392</v>
      </c>
      <c r="H6" s="30"/>
      <c r="I6" s="30">
        <f>I9+I21+I27</f>
        <v>16.712204551882945</v>
      </c>
      <c r="J6" s="30">
        <f>J9+J21+J27</f>
        <v>14.97839192630139</v>
      </c>
      <c r="K6" s="31">
        <f>J6/I6</f>
        <v>0.89625470295083187</v>
      </c>
      <c r="L6" s="31">
        <f>+I6/$I$89</f>
        <v>0.2369367761495281</v>
      </c>
      <c r="M6" s="6"/>
      <c r="O6" s="124"/>
      <c r="P6" s="125"/>
      <c r="Q6" s="125"/>
      <c r="R6" s="126"/>
      <c r="S6" s="126"/>
    </row>
    <row r="7" spans="1:19" ht="7.5" customHeight="1" x14ac:dyDescent="0.25">
      <c r="A7" s="20"/>
      <c r="B7" s="21"/>
      <c r="C7" s="21"/>
      <c r="D7" s="21"/>
      <c r="E7" s="21"/>
      <c r="F7" s="22"/>
      <c r="G7" s="22"/>
      <c r="H7" s="23"/>
      <c r="I7" s="24"/>
      <c r="J7" s="25"/>
      <c r="K7" s="26"/>
      <c r="L7" s="26"/>
      <c r="M7" s="6"/>
      <c r="O7" s="124"/>
      <c r="P7" s="125"/>
      <c r="Q7" s="125"/>
      <c r="R7" s="126"/>
      <c r="S7" s="126"/>
    </row>
    <row r="8" spans="1:19" ht="8.25" hidden="1" customHeight="1" x14ac:dyDescent="0.25">
      <c r="A8" s="38"/>
      <c r="B8" s="39"/>
      <c r="C8" s="39"/>
      <c r="D8" s="39"/>
      <c r="E8" s="39"/>
      <c r="F8" s="40"/>
      <c r="G8" s="40"/>
      <c r="H8" s="41"/>
      <c r="I8" s="42"/>
      <c r="J8" s="43"/>
      <c r="K8" s="44"/>
      <c r="L8" s="45"/>
      <c r="M8" s="6"/>
      <c r="O8" s="124"/>
      <c r="P8" s="125"/>
      <c r="Q8" s="125"/>
      <c r="R8" s="126"/>
      <c r="S8" s="126"/>
    </row>
    <row r="9" spans="1:19" ht="22.5" customHeight="1" outlineLevel="1" x14ac:dyDescent="0.25">
      <c r="A9" s="48" t="s">
        <v>19</v>
      </c>
      <c r="B9" s="49">
        <f>SUM(B11:B19)</f>
        <v>294.46336750216511</v>
      </c>
      <c r="C9" s="49">
        <f t="shared" ref="C9:J9" si="0">SUM(C11:C19)</f>
        <v>25.848646777000003</v>
      </c>
      <c r="D9" s="49">
        <f t="shared" si="0"/>
        <v>55.11039382700001</v>
      </c>
      <c r="E9" s="49">
        <f t="shared" si="0"/>
        <v>265.20162045216517</v>
      </c>
      <c r="F9" s="49">
        <f t="shared" si="0"/>
        <v>163.03</v>
      </c>
      <c r="G9" s="49">
        <f t="shared" si="0"/>
        <v>143.48296414018125</v>
      </c>
      <c r="H9" s="50"/>
      <c r="I9" s="50">
        <f t="shared" si="0"/>
        <v>15.549299999999999</v>
      </c>
      <c r="J9" s="50">
        <f t="shared" si="0"/>
        <v>13.896883467767362</v>
      </c>
      <c r="K9" s="51">
        <f>J9/I9</f>
        <v>0.89373048740247873</v>
      </c>
      <c r="L9" s="51">
        <f>+I9/$I$89</f>
        <v>0.22044973192760273</v>
      </c>
      <c r="M9" s="6"/>
      <c r="N9" s="52"/>
      <c r="O9" s="124"/>
      <c r="P9" s="125"/>
      <c r="Q9" s="125"/>
      <c r="R9" s="126"/>
      <c r="S9" s="126"/>
    </row>
    <row r="10" spans="1:19" ht="7.5" customHeight="1" outlineLevel="1" x14ac:dyDescent="0.25">
      <c r="A10" s="20"/>
      <c r="B10" s="21"/>
      <c r="C10" s="21"/>
      <c r="D10" s="21"/>
      <c r="E10" s="21"/>
      <c r="F10" s="22"/>
      <c r="G10" s="22"/>
      <c r="H10" s="23"/>
      <c r="I10" s="24"/>
      <c r="J10" s="25"/>
      <c r="K10" s="26"/>
      <c r="L10" s="26"/>
      <c r="M10" s="6"/>
      <c r="N10" s="52"/>
      <c r="O10" s="124"/>
      <c r="P10" s="125"/>
      <c r="Q10" s="125"/>
      <c r="R10" s="126"/>
      <c r="S10" s="126"/>
    </row>
    <row r="11" spans="1:19" ht="15" customHeight="1" outlineLevel="1" x14ac:dyDescent="0.25">
      <c r="A11" s="55" t="str">
        <f>+'data from cereal masterfile'!A3</f>
        <v>Common  wheat</v>
      </c>
      <c r="B11" s="56">
        <f>+'data from cereal masterfile'!J3</f>
        <v>131.12555031399998</v>
      </c>
      <c r="C11" s="56">
        <f>+'data from cereal masterfile'!J15</f>
        <v>2.7303618869999999</v>
      </c>
      <c r="D11" s="56">
        <f>+'data from cereal masterfile'!J27</f>
        <v>36.870737443000003</v>
      </c>
      <c r="E11" s="56">
        <f>+B11+C11-D11</f>
        <v>96.985174757999971</v>
      </c>
      <c r="F11" s="56">
        <f>+'data from cereal masterfile'!J39</f>
        <v>40.5</v>
      </c>
      <c r="G11" s="56">
        <f>IF(B11&gt;E11,F11,F11*B11/E11)-C11</f>
        <v>37.769638112999999</v>
      </c>
      <c r="H11" s="57">
        <v>0.11</v>
      </c>
      <c r="I11" s="58">
        <f>F11*H11</f>
        <v>4.4550000000000001</v>
      </c>
      <c r="J11" s="58">
        <f>G11*H11</f>
        <v>4.1546601924299997</v>
      </c>
      <c r="K11" s="26"/>
      <c r="L11" s="26"/>
      <c r="M11" s="6">
        <f>+IF(H11&lt;15%,1,IF(H11&lt;30%,2,IF(H11&lt;50%,3,4)))</f>
        <v>1</v>
      </c>
      <c r="N11" s="52"/>
      <c r="O11" s="124"/>
      <c r="P11" s="125"/>
      <c r="Q11" s="125"/>
      <c r="R11" s="126"/>
      <c r="S11" s="126"/>
    </row>
    <row r="12" spans="1:19" ht="15" customHeight="1" outlineLevel="1" x14ac:dyDescent="0.25">
      <c r="A12" s="55" t="str">
        <f>+'data from cereal masterfile'!A4</f>
        <v>Barley</v>
      </c>
      <c r="B12" s="56">
        <f>+'data from cereal masterfile'!J4</f>
        <v>55.041932700000004</v>
      </c>
      <c r="C12" s="56">
        <f>+'data from cereal masterfile'!J16</f>
        <v>1.891836429</v>
      </c>
      <c r="D12" s="56">
        <f>+'data from cereal masterfile'!J28</f>
        <v>10.520487842</v>
      </c>
      <c r="E12" s="56">
        <f t="shared" ref="E12:E19" si="1">+B12+C12-D12</f>
        <v>46.413281287000004</v>
      </c>
      <c r="F12" s="56">
        <f>+'data from cereal masterfile'!J40</f>
        <v>34.5</v>
      </c>
      <c r="G12" s="56">
        <f>IF(B12&gt;E12,F12,F12*B12/E12)</f>
        <v>34.5</v>
      </c>
      <c r="H12" s="57">
        <v>0.1</v>
      </c>
      <c r="I12" s="58">
        <f t="shared" ref="I12:I19" si="2">F12*H12</f>
        <v>3.45</v>
      </c>
      <c r="J12" s="58">
        <f t="shared" ref="J12:J19" si="3">G12*H12</f>
        <v>3.45</v>
      </c>
      <c r="K12" s="26"/>
      <c r="L12" s="26"/>
      <c r="M12" s="6">
        <f t="shared" ref="M12:M19" si="4">+IF(H12&lt;15%,1,IF(H12&lt;30%,2,IF(H12&lt;50%,3,4)))</f>
        <v>1</v>
      </c>
      <c r="N12" s="52"/>
      <c r="O12" s="124"/>
      <c r="P12" s="125"/>
      <c r="Q12" s="125"/>
      <c r="R12" s="126"/>
      <c r="S12" s="126"/>
    </row>
    <row r="13" spans="1:19" ht="15" customHeight="1" outlineLevel="1" x14ac:dyDescent="0.25">
      <c r="A13" s="55" t="str">
        <f>+'data from cereal masterfile'!A5</f>
        <v>Durum</v>
      </c>
      <c r="B13" s="56">
        <f>+'data from cereal masterfile'!J5</f>
        <v>7.3970468300000007</v>
      </c>
      <c r="C13" s="56">
        <f>+'data from cereal masterfile'!J17</f>
        <v>2.4053691449999999</v>
      </c>
      <c r="D13" s="56">
        <f>+'data from cereal masterfile'!J29</f>
        <v>1.3060742569999999</v>
      </c>
      <c r="E13" s="56">
        <f t="shared" si="1"/>
        <v>8.496341718</v>
      </c>
      <c r="F13" s="56">
        <f>+'data from cereal masterfile'!J41</f>
        <v>0.4</v>
      </c>
      <c r="G13" s="56">
        <f>IF(B13&gt;E13,F13,F13*B13/E13)</f>
        <v>0.34824620174251808</v>
      </c>
      <c r="H13" s="57">
        <v>0.12</v>
      </c>
      <c r="I13" s="58">
        <f t="shared" si="2"/>
        <v>4.8000000000000001E-2</v>
      </c>
      <c r="J13" s="58">
        <f t="shared" si="3"/>
        <v>4.1789544209102171E-2</v>
      </c>
      <c r="K13" s="26"/>
      <c r="L13" s="26"/>
      <c r="M13" s="6">
        <f t="shared" si="4"/>
        <v>1</v>
      </c>
      <c r="N13" s="52"/>
      <c r="O13" s="124"/>
      <c r="P13" s="125"/>
      <c r="Q13" s="125"/>
      <c r="R13" s="126"/>
      <c r="S13" s="126"/>
    </row>
    <row r="14" spans="1:19" ht="15" customHeight="1" outlineLevel="1" x14ac:dyDescent="0.25">
      <c r="A14" s="55" t="str">
        <f>+'data from cereal masterfile'!A6</f>
        <v>Maize</v>
      </c>
      <c r="B14" s="56">
        <f>+'data from cereal masterfile'!J6</f>
        <v>70.120372295999999</v>
      </c>
      <c r="C14" s="56">
        <f>+'data from cereal masterfile'!J18</f>
        <v>18.45462779</v>
      </c>
      <c r="D14" s="56">
        <f>+'data from cereal masterfile'!J30</f>
        <v>5.8664226639999999</v>
      </c>
      <c r="E14" s="56">
        <f t="shared" si="1"/>
        <v>82.708577422000005</v>
      </c>
      <c r="F14" s="56">
        <f>+'data from cereal masterfile'!J42</f>
        <v>68.099999999999994</v>
      </c>
      <c r="G14" s="56">
        <f>F14-C14*0.9</f>
        <v>51.490834988999993</v>
      </c>
      <c r="H14" s="57">
        <v>0.08</v>
      </c>
      <c r="I14" s="58">
        <f t="shared" si="2"/>
        <v>5.4479999999999995</v>
      </c>
      <c r="J14" s="58">
        <f t="shared" si="3"/>
        <v>4.1192667991199992</v>
      </c>
      <c r="K14" s="26"/>
      <c r="L14" s="26"/>
      <c r="M14" s="6">
        <f t="shared" si="4"/>
        <v>1</v>
      </c>
      <c r="N14" s="52"/>
      <c r="O14" s="124"/>
      <c r="P14" s="125"/>
      <c r="Q14" s="125"/>
      <c r="R14" s="126"/>
      <c r="S14" s="126"/>
    </row>
    <row r="15" spans="1:19" ht="15" customHeight="1" outlineLevel="1" x14ac:dyDescent="0.25">
      <c r="A15" s="55" t="str">
        <f>+'data from cereal masterfile'!A7</f>
        <v>Rye</v>
      </c>
      <c r="B15" s="56">
        <f>+'data from cereal masterfile'!J7</f>
        <v>8.2691425871382194</v>
      </c>
      <c r="C15" s="56">
        <f>+'data from cereal masterfile'!J19</f>
        <v>3.962948E-3</v>
      </c>
      <c r="D15" s="56">
        <f>+'data from cereal masterfile'!J31</f>
        <v>0.28338061999999997</v>
      </c>
      <c r="E15" s="56">
        <f t="shared" si="1"/>
        <v>7.9897249151382193</v>
      </c>
      <c r="F15" s="56">
        <f>+'data from cereal masterfile'!J43</f>
        <v>2.58</v>
      </c>
      <c r="G15" s="56">
        <f>IF(B15&gt;E15,F15,F15*B15/(B15+C15-D15))</f>
        <v>2.58</v>
      </c>
      <c r="H15" s="57">
        <v>0.11</v>
      </c>
      <c r="I15" s="58">
        <f t="shared" si="2"/>
        <v>0.2838</v>
      </c>
      <c r="J15" s="58">
        <f t="shared" si="3"/>
        <v>0.2838</v>
      </c>
      <c r="K15" s="26"/>
      <c r="L15" s="26"/>
      <c r="M15" s="6">
        <f t="shared" si="4"/>
        <v>1</v>
      </c>
      <c r="N15" s="52"/>
      <c r="O15" s="124"/>
      <c r="P15" s="125"/>
      <c r="Q15" s="125"/>
      <c r="R15" s="126"/>
      <c r="S15" s="126"/>
    </row>
    <row r="16" spans="1:19" ht="15" customHeight="1" outlineLevel="1" x14ac:dyDescent="0.25">
      <c r="A16" s="55" t="str">
        <f>+'data from cereal masterfile'!A8</f>
        <v>Sorghum</v>
      </c>
      <c r="B16" s="56">
        <f>+'data from cereal masterfile'!J8</f>
        <v>0.96493399999999996</v>
      </c>
      <c r="C16" s="56">
        <f>+'data from cereal masterfile'!J20</f>
        <v>8.2550089000000007E-2</v>
      </c>
      <c r="D16" s="56">
        <f>+'data from cereal masterfile'!J32</f>
        <v>1.4616183000000001E-2</v>
      </c>
      <c r="E16" s="56">
        <f t="shared" si="1"/>
        <v>1.0328679059999999</v>
      </c>
      <c r="F16" s="56">
        <f>+'data from cereal masterfile'!J44</f>
        <v>0.44999999999999996</v>
      </c>
      <c r="G16" s="56">
        <f>IF(B16&gt;E16,F16,F16*B16/(B16+C16-D16))</f>
        <v>0.42040254855203141</v>
      </c>
      <c r="H16" s="57">
        <v>0.11</v>
      </c>
      <c r="I16" s="58">
        <f t="shared" si="2"/>
        <v>4.9499999999999995E-2</v>
      </c>
      <c r="J16" s="58">
        <f t="shared" si="3"/>
        <v>4.6244280340723455E-2</v>
      </c>
      <c r="K16" s="26"/>
      <c r="L16" s="26"/>
      <c r="M16" s="6">
        <f t="shared" si="4"/>
        <v>1</v>
      </c>
      <c r="N16" s="52"/>
      <c r="O16" s="124"/>
      <c r="P16" s="125"/>
      <c r="Q16" s="125"/>
      <c r="R16" s="126"/>
      <c r="S16" s="126"/>
    </row>
    <row r="17" spans="1:26" ht="15" customHeight="1" outlineLevel="1" x14ac:dyDescent="0.25">
      <c r="A17" s="55" t="str">
        <f>+'data from cereal masterfile'!A9</f>
        <v>Oats</v>
      </c>
      <c r="B17" s="56">
        <f>+'data from cereal masterfile'!J9</f>
        <v>6.8685555499999991</v>
      </c>
      <c r="C17" s="56">
        <f>+'data from cereal masterfile'!J21</f>
        <v>0.114377469</v>
      </c>
      <c r="D17" s="56">
        <f>+'data from cereal masterfile'!J33</f>
        <v>0.21792127900000002</v>
      </c>
      <c r="E17" s="56">
        <f t="shared" si="1"/>
        <v>6.7650117399999985</v>
      </c>
      <c r="F17" s="56">
        <f>+'data from cereal masterfile'!J45</f>
        <v>5.0999999999999996</v>
      </c>
      <c r="G17" s="56">
        <f>IF(B17&gt;E17,F17,F17*B17/(B17+C17-D17))</f>
        <v>5.0999999999999996</v>
      </c>
      <c r="H17" s="57">
        <v>0.11</v>
      </c>
      <c r="I17" s="58">
        <f t="shared" si="2"/>
        <v>0.56099999999999994</v>
      </c>
      <c r="J17" s="58">
        <f t="shared" si="3"/>
        <v>0.56099999999999994</v>
      </c>
      <c r="K17" s="26"/>
      <c r="L17" s="26"/>
      <c r="M17" s="6">
        <f t="shared" si="4"/>
        <v>1</v>
      </c>
      <c r="N17" s="52"/>
      <c r="O17" s="124"/>
      <c r="P17" s="125"/>
      <c r="Q17" s="125"/>
      <c r="R17" s="126"/>
      <c r="S17" s="126"/>
    </row>
    <row r="18" spans="1:26" ht="15" customHeight="1" outlineLevel="1" x14ac:dyDescent="0.25">
      <c r="A18" s="55" t="str">
        <f>+'data from cereal masterfile'!A10</f>
        <v>Triticale</v>
      </c>
      <c r="B18" s="56">
        <f>+'data from cereal masterfile'!J10</f>
        <v>10.979116399999997</v>
      </c>
      <c r="C18" s="56">
        <f>+'data from cereal masterfile'!J22</f>
        <v>6.6285900000000002E-4</v>
      </c>
      <c r="D18" s="56">
        <f>+'data from cereal masterfile'!J34</f>
        <v>1.2796938000000001E-2</v>
      </c>
      <c r="E18" s="56">
        <f t="shared" si="1"/>
        <v>10.966982320999998</v>
      </c>
      <c r="F18" s="56">
        <f>+'data from cereal masterfile'!J46</f>
        <v>8.1</v>
      </c>
      <c r="G18" s="56">
        <f>IF(B18&gt;E18,F18,F18*B18/(B18+C18-D18))</f>
        <v>8.1</v>
      </c>
      <c r="H18" s="57">
        <v>0.11</v>
      </c>
      <c r="I18" s="58">
        <f t="shared" si="2"/>
        <v>0.89100000000000001</v>
      </c>
      <c r="J18" s="58">
        <f t="shared" si="3"/>
        <v>0.89100000000000001</v>
      </c>
      <c r="K18" s="26"/>
      <c r="L18" s="26"/>
      <c r="M18" s="6">
        <f t="shared" si="4"/>
        <v>1</v>
      </c>
      <c r="N18" s="52"/>
      <c r="O18" s="124"/>
      <c r="P18" s="125"/>
      <c r="Q18" s="125"/>
      <c r="R18" s="126"/>
      <c r="S18" s="126"/>
    </row>
    <row r="19" spans="1:26" ht="15" customHeight="1" outlineLevel="1" x14ac:dyDescent="0.25">
      <c r="A19" s="55" t="str">
        <f>+'data from cereal masterfile'!A11</f>
        <v>Others</v>
      </c>
      <c r="B19" s="56">
        <f>+'data from cereal masterfile'!J11</f>
        <v>3.6967168250269018</v>
      </c>
      <c r="C19" s="56">
        <f>+'data from cereal masterfile'!J23</f>
        <v>0.16489816099999999</v>
      </c>
      <c r="D19" s="56">
        <f>+'data from cereal masterfile'!J35</f>
        <v>1.7956600999999999E-2</v>
      </c>
      <c r="E19" s="56">
        <f t="shared" si="1"/>
        <v>3.8436583850269019</v>
      </c>
      <c r="F19" s="56">
        <f>+'data from cereal masterfile'!J47</f>
        <v>3.3</v>
      </c>
      <c r="G19" s="56">
        <f>IF(B19&gt;E19,F19,F19*B19/(B19+C19-D19))</f>
        <v>3.1738422878867243</v>
      </c>
      <c r="H19" s="57">
        <v>0.11</v>
      </c>
      <c r="I19" s="58">
        <f t="shared" si="2"/>
        <v>0.36299999999999999</v>
      </c>
      <c r="J19" s="58">
        <f t="shared" si="3"/>
        <v>0.3491226516675397</v>
      </c>
      <c r="K19" s="26"/>
      <c r="L19" s="26"/>
      <c r="M19" s="6">
        <f t="shared" si="4"/>
        <v>1</v>
      </c>
      <c r="N19" s="52"/>
      <c r="O19" s="124"/>
      <c r="P19" s="125"/>
      <c r="Q19" s="125"/>
      <c r="R19" s="126"/>
      <c r="S19" s="126"/>
    </row>
    <row r="20" spans="1:26" ht="12.75" customHeight="1" outlineLevel="1" x14ac:dyDescent="0.25">
      <c r="A20" s="20"/>
      <c r="B20" s="21"/>
      <c r="C20" s="21"/>
      <c r="D20" s="21"/>
      <c r="E20" s="21"/>
      <c r="F20" s="22"/>
      <c r="G20" s="22"/>
      <c r="H20" s="23"/>
      <c r="I20" s="24"/>
      <c r="J20" s="25"/>
      <c r="K20" s="26"/>
      <c r="L20" s="26"/>
      <c r="M20" s="6"/>
      <c r="N20" s="52"/>
      <c r="O20" s="124"/>
      <c r="P20" s="125"/>
      <c r="Q20" s="125"/>
      <c r="R20" s="126"/>
      <c r="S20" s="126"/>
    </row>
    <row r="21" spans="1:26" ht="22.5" customHeight="1" outlineLevel="1" x14ac:dyDescent="0.25">
      <c r="A21" s="48" t="s">
        <v>20</v>
      </c>
      <c r="B21" s="49">
        <f t="shared" ref="B21:G21" si="5">SUM(B23:B25)</f>
        <v>28.365299999999998</v>
      </c>
      <c r="C21" s="49">
        <f t="shared" si="5"/>
        <v>21.675962932999997</v>
      </c>
      <c r="D21" s="49">
        <f t="shared" si="5"/>
        <v>1.1340885980000002</v>
      </c>
      <c r="E21" s="49">
        <f t="shared" si="5"/>
        <v>48.907174335000001</v>
      </c>
      <c r="F21" s="49">
        <f t="shared" si="5"/>
        <v>1.5586792</v>
      </c>
      <c r="G21" s="49">
        <f t="shared" si="5"/>
        <v>1.5586792</v>
      </c>
      <c r="H21" s="50"/>
      <c r="I21" s="50">
        <f>SUM(I23:I25)</f>
        <v>0.4552517412</v>
      </c>
      <c r="J21" s="50">
        <f>SUM(J23:J25)</f>
        <v>0.4552517412</v>
      </c>
      <c r="K21" s="51">
        <f>J21/I21</f>
        <v>1</v>
      </c>
      <c r="L21" s="51">
        <f>+I21/$I$89</f>
        <v>6.4543178347008789E-3</v>
      </c>
      <c r="M21" s="6"/>
      <c r="N21" s="52"/>
      <c r="O21" s="124"/>
      <c r="P21" s="125"/>
      <c r="Q21" s="125"/>
      <c r="R21" s="126"/>
      <c r="S21" s="126"/>
    </row>
    <row r="22" spans="1:26" ht="14.25" customHeight="1" outlineLevel="1" x14ac:dyDescent="0.25">
      <c r="A22" s="20" t="s">
        <v>21</v>
      </c>
      <c r="B22" s="21"/>
      <c r="C22" s="21"/>
      <c r="D22" s="21"/>
      <c r="E22" s="21"/>
      <c r="F22" s="22"/>
      <c r="G22" s="22"/>
      <c r="H22" s="23"/>
      <c r="I22" s="24"/>
      <c r="J22" s="25"/>
      <c r="K22" s="26"/>
      <c r="L22" s="26"/>
      <c r="M22" s="6"/>
      <c r="N22" s="52"/>
      <c r="O22" s="124"/>
      <c r="P22" s="125"/>
      <c r="Q22" s="125"/>
      <c r="R22" s="126"/>
      <c r="S22" s="126"/>
    </row>
    <row r="23" spans="1:26" ht="15" customHeight="1" outlineLevel="1" x14ac:dyDescent="0.25">
      <c r="A23" s="55" t="s">
        <v>22</v>
      </c>
      <c r="B23" s="56">
        <f>+'data from oilseed masterfile'!X4</f>
        <v>2.7415400000000001</v>
      </c>
      <c r="C23" s="56">
        <f>+'data from oilseed masterfile'!X12</f>
        <v>14.730722603</v>
      </c>
      <c r="D23" s="56">
        <f>+'data from oilseed masterfile'!X16</f>
        <v>0.24062468100000001</v>
      </c>
      <c r="E23" s="56">
        <f>+B23+C23-D23</f>
        <v>17.231637922000001</v>
      </c>
      <c r="F23" s="56">
        <v>1.2</v>
      </c>
      <c r="G23" s="56">
        <f>F23</f>
        <v>1.2</v>
      </c>
      <c r="H23" s="61">
        <v>0.33</v>
      </c>
      <c r="I23" s="58">
        <f>F23*H23</f>
        <v>0.39600000000000002</v>
      </c>
      <c r="J23" s="58">
        <f>G23*H23</f>
        <v>0.39600000000000002</v>
      </c>
      <c r="K23" s="26"/>
      <c r="L23" s="26"/>
      <c r="M23" s="6">
        <f>+IF(H23&lt;15%,1,IF(H23&lt;30%,2,IF(H23&lt;50%,3,4)))</f>
        <v>3</v>
      </c>
      <c r="N23" s="52"/>
      <c r="O23" s="124"/>
      <c r="P23" s="125"/>
      <c r="Q23" s="125"/>
      <c r="R23" s="126"/>
      <c r="S23" s="126"/>
    </row>
    <row r="24" spans="1:26" ht="15" customHeight="1" outlineLevel="1" x14ac:dyDescent="0.25">
      <c r="A24" s="55" t="s">
        <v>23</v>
      </c>
      <c r="B24" s="56">
        <f>+'data from oilseed masterfile'!X5</f>
        <v>15.3796</v>
      </c>
      <c r="C24" s="56">
        <f>+'data from oilseed masterfile'!X13</f>
        <v>5.9746448899999987</v>
      </c>
      <c r="D24" s="56">
        <f>+'data from oilseed masterfile'!X17</f>
        <v>0.33150681400000004</v>
      </c>
      <c r="E24" s="56">
        <f>+B24+C24-D24</f>
        <v>21.022738075999996</v>
      </c>
      <c r="F24" s="56">
        <f>+B24*1%</f>
        <v>0.15379600000000002</v>
      </c>
      <c r="G24" s="56">
        <f>F24</f>
        <v>0.15379600000000002</v>
      </c>
      <c r="H24" s="62">
        <f>H47*0.57</f>
        <v>0.18809999999999999</v>
      </c>
      <c r="I24" s="58">
        <f>F24*H24</f>
        <v>2.8929027600000001E-2</v>
      </c>
      <c r="J24" s="58">
        <f>G24*H24</f>
        <v>2.8929027600000001E-2</v>
      </c>
      <c r="K24" s="26"/>
      <c r="L24" s="26"/>
      <c r="M24" s="6">
        <f>+IF(H24&lt;15%,1,IF(H24&lt;30%,2,IF(H24&lt;50%,3,4)))</f>
        <v>2</v>
      </c>
      <c r="N24" s="52"/>
      <c r="O24" s="124"/>
      <c r="P24" s="125"/>
      <c r="Q24" s="125"/>
      <c r="R24" s="126"/>
      <c r="S24" s="126"/>
    </row>
    <row r="25" spans="1:26" ht="15" customHeight="1" outlineLevel="1" x14ac:dyDescent="0.25">
      <c r="A25" s="55" t="s">
        <v>24</v>
      </c>
      <c r="B25" s="56">
        <f>+'data from oilseed masterfile'!X6</f>
        <v>10.244159999999999</v>
      </c>
      <c r="C25" s="56">
        <f>+'data from oilseed masterfile'!X14</f>
        <v>0.9705954400000002</v>
      </c>
      <c r="D25" s="56">
        <f>+'data from oilseed masterfile'!X18</f>
        <v>0.56195710300000012</v>
      </c>
      <c r="E25" s="56">
        <f>+B25+C25-D25</f>
        <v>10.652798337</v>
      </c>
      <c r="F25" s="56">
        <f>+B25*2%</f>
        <v>0.20488319999999999</v>
      </c>
      <c r="G25" s="56">
        <f>F25</f>
        <v>0.20488319999999999</v>
      </c>
      <c r="H25" s="57">
        <v>0.14799999999999999</v>
      </c>
      <c r="I25" s="58">
        <f>F25*H25</f>
        <v>3.0322713599999995E-2</v>
      </c>
      <c r="J25" s="58">
        <f>G25*H25</f>
        <v>3.0322713599999995E-2</v>
      </c>
      <c r="K25" s="26"/>
      <c r="L25" s="26"/>
      <c r="M25" s="6">
        <f>+IF(H25&lt;15%,1,IF(H25&lt;30%,2,IF(H25&lt;50%,3,4)))</f>
        <v>1</v>
      </c>
      <c r="N25" s="52"/>
      <c r="O25" s="124"/>
      <c r="P25" s="125"/>
      <c r="Q25" s="125"/>
      <c r="R25" s="126"/>
      <c r="S25" s="126"/>
    </row>
    <row r="26" spans="1:26" ht="12.75" customHeight="1" outlineLevel="1" x14ac:dyDescent="0.25">
      <c r="A26" s="20"/>
      <c r="B26" s="21"/>
      <c r="C26" s="21"/>
      <c r="D26" s="21"/>
      <c r="E26" s="21"/>
      <c r="F26" s="22"/>
      <c r="G26" s="22"/>
      <c r="H26" s="23"/>
      <c r="I26" s="24"/>
      <c r="J26" s="25"/>
      <c r="K26" s="26"/>
      <c r="L26" s="26"/>
      <c r="M26" s="6"/>
      <c r="N26" s="52"/>
      <c r="O26" s="124"/>
      <c r="P26" s="125"/>
      <c r="Q26" s="125"/>
      <c r="R26" s="126"/>
      <c r="S26" s="126"/>
    </row>
    <row r="27" spans="1:26" ht="20.25" customHeight="1" outlineLevel="1" x14ac:dyDescent="0.25">
      <c r="A27" s="48" t="s">
        <v>25</v>
      </c>
      <c r="B27" s="49">
        <f t="shared" ref="B27:G27" si="6">SUM(B29:B32)</f>
        <v>3.68283</v>
      </c>
      <c r="C27" s="49">
        <f t="shared" si="6"/>
        <v>1.043567956</v>
      </c>
      <c r="D27" s="49">
        <f t="shared" si="6"/>
        <v>0.51433674699999998</v>
      </c>
      <c r="E27" s="49">
        <f t="shared" si="6"/>
        <v>4.2120612089999998</v>
      </c>
      <c r="F27" s="49">
        <f t="shared" si="6"/>
        <v>2.7879856256441751</v>
      </c>
      <c r="G27" s="49">
        <f t="shared" si="6"/>
        <v>2.5191019775326806</v>
      </c>
      <c r="H27" s="50"/>
      <c r="I27" s="50">
        <f>SUM(I29:I32)</f>
        <v>0.70765281068294372</v>
      </c>
      <c r="J27" s="50">
        <f>SUM(J29:J32)</f>
        <v>0.62625671733402777</v>
      </c>
      <c r="K27" s="51">
        <f>J27/I27</f>
        <v>0.8849773616099087</v>
      </c>
      <c r="L27" s="51">
        <f>+I27/$I$89</f>
        <v>1.0032726387224477E-2</v>
      </c>
      <c r="M27" s="6"/>
      <c r="N27" s="52"/>
      <c r="O27" s="124"/>
      <c r="P27" s="125"/>
      <c r="Q27" s="125"/>
      <c r="R27" s="126"/>
      <c r="S27" s="126"/>
    </row>
    <row r="28" spans="1:26" ht="7.5" customHeight="1" outlineLevel="1" x14ac:dyDescent="0.25">
      <c r="A28" s="20"/>
      <c r="B28" s="21"/>
      <c r="C28" s="21"/>
      <c r="D28" s="21"/>
      <c r="E28" s="21"/>
      <c r="F28" s="22"/>
      <c r="G28" s="22"/>
      <c r="H28" s="23"/>
      <c r="I28" s="24"/>
      <c r="J28" s="25"/>
      <c r="K28" s="26"/>
      <c r="L28" s="26"/>
      <c r="M28" s="6"/>
      <c r="N28" s="52"/>
      <c r="O28" s="124"/>
      <c r="P28" s="125"/>
      <c r="Q28" s="125"/>
      <c r="R28" s="126"/>
      <c r="S28" s="126"/>
    </row>
    <row r="29" spans="1:26" ht="15" customHeight="1" outlineLevel="1" x14ac:dyDescent="0.25">
      <c r="A29" s="55" t="s">
        <v>26</v>
      </c>
      <c r="B29" s="56">
        <f>'data from protein balance sheet'!J4</f>
        <v>2.0122499999999999</v>
      </c>
      <c r="C29" s="56">
        <f>'data from protein balance sheet'!J20</f>
        <v>0.38541254300000005</v>
      </c>
      <c r="D29" s="56">
        <f>'data from protein balance sheet'!J28</f>
        <v>0.22717762</v>
      </c>
      <c r="E29" s="56">
        <f>'data from protein balance sheet'!J12</f>
        <v>2.1704849230000001</v>
      </c>
      <c r="F29" s="56">
        <f>'data from protein balance sheet'!J36</f>
        <v>1.3950787887000002</v>
      </c>
      <c r="G29" s="56">
        <f>IF(B29&gt;E29,F29,F29*B29/E29)</f>
        <v>1.2933733207791442</v>
      </c>
      <c r="H29" s="63">
        <v>0.22500000000000001</v>
      </c>
      <c r="I29" s="58">
        <f>F29*H29</f>
        <v>0.31389272745750008</v>
      </c>
      <c r="J29" s="58">
        <f>G29*H29</f>
        <v>0.29100899717530748</v>
      </c>
      <c r="K29" s="26"/>
      <c r="L29" s="26"/>
      <c r="M29" s="6">
        <f>+IF(H29&lt;15%,1,IF(H29&lt;30%,2,IF(H29&lt;50%,3,4)))</f>
        <v>2</v>
      </c>
      <c r="N29" s="52"/>
      <c r="O29" s="124"/>
      <c r="P29" s="125"/>
      <c r="Q29" s="125"/>
      <c r="R29" s="126"/>
      <c r="S29" s="126"/>
    </row>
    <row r="30" spans="1:26" ht="15" customHeight="1" outlineLevel="1" x14ac:dyDescent="0.25">
      <c r="A30" s="55" t="s">
        <v>27</v>
      </c>
      <c r="B30" s="56">
        <f>'data from protein balance sheet'!J5</f>
        <v>1.0331899999999998</v>
      </c>
      <c r="C30" s="56">
        <f>'data from protein balance sheet'!J21</f>
        <v>0.11322052900000001</v>
      </c>
      <c r="D30" s="56">
        <f>'data from protein balance sheet'!J29</f>
        <v>0.26167291600000003</v>
      </c>
      <c r="E30" s="56">
        <f>'data from protein balance sheet'!J13</f>
        <v>0.88473761299999976</v>
      </c>
      <c r="F30" s="56">
        <f>'data from protein balance sheet'!J37</f>
        <v>0.75663094913999984</v>
      </c>
      <c r="G30" s="56">
        <f>IF(B30&gt;E30,F30,F30*B30/E30)</f>
        <v>0.75663094913999984</v>
      </c>
      <c r="H30" s="63">
        <v>0.26</v>
      </c>
      <c r="I30" s="58">
        <f>F30*H30</f>
        <v>0.19672404677639996</v>
      </c>
      <c r="J30" s="58">
        <f>G30*H30</f>
        <v>0.19672404677639996</v>
      </c>
      <c r="K30" s="26"/>
      <c r="L30" s="26"/>
      <c r="M30" s="6">
        <f>+IF(H30&lt;15%,1,IF(H30&lt;30%,2,IF(H30&lt;50%,3,4)))</f>
        <v>2</v>
      </c>
      <c r="N30" s="52"/>
      <c r="O30" s="124"/>
      <c r="P30" s="125"/>
      <c r="Q30" s="125"/>
      <c r="R30" s="126"/>
      <c r="S30" s="126"/>
    </row>
    <row r="31" spans="1:26" ht="15" customHeight="1" outlineLevel="1" x14ac:dyDescent="0.25">
      <c r="A31" s="55" t="s">
        <v>28</v>
      </c>
      <c r="B31" s="56">
        <f>'data from protein balance sheet'!J7</f>
        <v>0.2145</v>
      </c>
      <c r="C31" s="56">
        <f>'data from protein balance sheet'!J23</f>
        <v>0.16900570199999998</v>
      </c>
      <c r="D31" s="56">
        <f>'data from protein balance sheet'!J31</f>
        <v>2.48096E-4</v>
      </c>
      <c r="E31" s="56">
        <f>'data from protein balance sheet'!J15</f>
        <v>0.38325760600000003</v>
      </c>
      <c r="F31" s="56">
        <f>'data from protein balance sheet'!J39</f>
        <v>0.37967064497999997</v>
      </c>
      <c r="G31" s="56">
        <f>IF(B31&gt;E31,F31,F31*B31/E31)</f>
        <v>0.21249246478936151</v>
      </c>
      <c r="H31" s="61">
        <v>0.35</v>
      </c>
      <c r="I31" s="58">
        <f>F31*H31</f>
        <v>0.13288472574299998</v>
      </c>
      <c r="J31" s="58">
        <f>G31*H31</f>
        <v>7.4372362676276518E-2</v>
      </c>
      <c r="K31" s="26"/>
      <c r="L31" s="26"/>
      <c r="M31" s="6">
        <f>+IF(H31&lt;15%,1,IF(H31&lt;30%,2,IF(H31&lt;50%,3,4)))</f>
        <v>3</v>
      </c>
      <c r="N31" s="52"/>
      <c r="O31" s="124"/>
      <c r="P31" s="125"/>
      <c r="Q31" s="125"/>
      <c r="R31" s="127"/>
      <c r="S31" s="128"/>
      <c r="T31" s="52"/>
      <c r="U31" s="52"/>
      <c r="V31" s="52"/>
      <c r="W31" s="52"/>
      <c r="X31" s="52"/>
      <c r="Y31" s="52"/>
      <c r="Z31" s="52"/>
    </row>
    <row r="32" spans="1:26" ht="15" customHeight="1" outlineLevel="1" x14ac:dyDescent="0.25">
      <c r="A32" s="55" t="s">
        <v>29</v>
      </c>
      <c r="B32" s="56">
        <f>'data from protein balance sheet'!J9</f>
        <v>0.4228900000000001</v>
      </c>
      <c r="C32" s="56">
        <f>'data from protein balance sheet'!J25</f>
        <v>0.37592918199999997</v>
      </c>
      <c r="D32" s="56">
        <f>'data from protein balance sheet'!J33</f>
        <v>2.5238114999999995E-2</v>
      </c>
      <c r="E32" s="56">
        <f>'data from protein balance sheet'!J17</f>
        <v>0.77358106700000007</v>
      </c>
      <c r="F32" s="56">
        <f>'data from protein balance sheet'!J41</f>
        <v>0.25660524282417507</v>
      </c>
      <c r="G32" s="56">
        <f>+(MIN(F32,B32-D32))</f>
        <v>0.25660524282417507</v>
      </c>
      <c r="H32" s="63">
        <v>0.25</v>
      </c>
      <c r="I32" s="58">
        <f>F32*H32</f>
        <v>6.4151310706043768E-2</v>
      </c>
      <c r="J32" s="58">
        <f>G32*H32</f>
        <v>6.4151310706043768E-2</v>
      </c>
      <c r="K32" s="26"/>
      <c r="L32" s="26"/>
      <c r="M32" s="6"/>
      <c r="N32" s="52"/>
      <c r="O32" s="124"/>
      <c r="P32" s="125"/>
      <c r="Q32" s="125"/>
      <c r="R32" s="127"/>
      <c r="S32" s="128"/>
      <c r="T32" s="52"/>
      <c r="U32" s="52"/>
      <c r="V32" s="52"/>
      <c r="W32" s="52"/>
      <c r="X32" s="52"/>
      <c r="Y32" s="52"/>
      <c r="Z32" s="52"/>
    </row>
    <row r="33" spans="1:26" ht="12.75" customHeight="1" outlineLevel="1" x14ac:dyDescent="0.25">
      <c r="A33" s="20"/>
      <c r="B33" s="21"/>
      <c r="C33" s="21"/>
      <c r="D33" s="21"/>
      <c r="E33" s="21"/>
      <c r="F33" s="22"/>
      <c r="G33" s="22"/>
      <c r="H33" s="23"/>
      <c r="I33" s="24"/>
      <c r="J33" s="25"/>
      <c r="K33" s="26"/>
      <c r="L33" s="26"/>
      <c r="M33" s="6"/>
      <c r="N33" s="52"/>
      <c r="O33" s="124"/>
      <c r="P33" s="125"/>
      <c r="Q33" s="125"/>
      <c r="R33" s="127"/>
      <c r="S33" s="127"/>
      <c r="T33" s="52"/>
      <c r="U33" s="52"/>
      <c r="V33" s="52"/>
      <c r="W33" s="52"/>
      <c r="X33" s="52"/>
      <c r="Y33" s="52"/>
      <c r="Z33" s="52"/>
    </row>
    <row r="34" spans="1:26" ht="36" customHeight="1" x14ac:dyDescent="0.25">
      <c r="A34" s="27" t="s">
        <v>30</v>
      </c>
      <c r="B34" s="28"/>
      <c r="C34" s="28"/>
      <c r="D34" s="28"/>
      <c r="E34" s="28"/>
      <c r="F34" s="29">
        <f>+F36+F63</f>
        <v>78.169859245037401</v>
      </c>
      <c r="G34" s="29">
        <f>+G36+G63</f>
        <v>40.977393590140913</v>
      </c>
      <c r="H34" s="30"/>
      <c r="I34" s="30">
        <f>+I36+I63</f>
        <v>23.637410721299609</v>
      </c>
      <c r="J34" s="30">
        <f>+J36+J63</f>
        <v>8.607322801870156</v>
      </c>
      <c r="K34" s="31">
        <f>IF(I34=0,0,J34/I34)</f>
        <v>0.3641398333919087</v>
      </c>
      <c r="L34" s="31">
        <f>+I34/$I$89</f>
        <v>0.33511867781656679</v>
      </c>
      <c r="M34" s="6"/>
      <c r="N34" s="52"/>
      <c r="O34" s="124"/>
      <c r="P34" s="125"/>
      <c r="Q34" s="125"/>
      <c r="R34" s="126"/>
      <c r="S34" s="126"/>
    </row>
    <row r="35" spans="1:26" ht="7.5" customHeight="1" x14ac:dyDescent="0.25">
      <c r="A35" s="20"/>
      <c r="B35" s="21"/>
      <c r="C35" s="21"/>
      <c r="D35" s="21"/>
      <c r="E35" s="21"/>
      <c r="F35" s="22"/>
      <c r="G35" s="22"/>
      <c r="H35" s="23"/>
      <c r="I35" s="24"/>
      <c r="J35" s="25"/>
      <c r="K35" s="26"/>
      <c r="L35" s="26"/>
      <c r="M35" s="6"/>
      <c r="N35" s="52"/>
      <c r="O35" s="124"/>
      <c r="P35" s="125"/>
      <c r="Q35" s="125"/>
      <c r="R35" s="126"/>
      <c r="S35" s="126"/>
    </row>
    <row r="36" spans="1:26" ht="19.5" customHeight="1" x14ac:dyDescent="0.25">
      <c r="A36" s="48" t="s">
        <v>31</v>
      </c>
      <c r="B36" s="49">
        <f t="shared" ref="B36:E36" si="7">+B38+B45+B51+B57</f>
        <v>28.635894008934233</v>
      </c>
      <c r="C36" s="49">
        <f t="shared" si="7"/>
        <v>21.969974115000003</v>
      </c>
      <c r="D36" s="49">
        <f t="shared" si="7"/>
        <v>2.2546076209999999</v>
      </c>
      <c r="E36" s="49">
        <f t="shared" si="7"/>
        <v>48.351260502934231</v>
      </c>
      <c r="F36" s="49">
        <f>+F38+F45+F51+F57</f>
        <v>48.148703909214483</v>
      </c>
      <c r="G36" s="49">
        <f>+G38+G45+G51+G57</f>
        <v>12.836999792318005</v>
      </c>
      <c r="H36" s="50"/>
      <c r="I36" s="50">
        <f>+I38+I45+I51+I57</f>
        <v>19.281487202014954</v>
      </c>
      <c r="J36" s="50">
        <f>+J38+J45+J51+J57</f>
        <v>4.4913605663585008</v>
      </c>
      <c r="K36" s="51">
        <f>IF(I36=0,0,J36/I36)</f>
        <v>0.23293641819751043</v>
      </c>
      <c r="L36" s="51">
        <f>+I36/$I$89</f>
        <v>0.27336270345608482</v>
      </c>
      <c r="M36" s="6"/>
      <c r="N36" s="52"/>
      <c r="O36" s="124"/>
      <c r="P36" s="125"/>
      <c r="Q36" s="125"/>
      <c r="R36" s="126"/>
      <c r="S36" s="126"/>
    </row>
    <row r="37" spans="1:26" ht="7.5" customHeight="1" x14ac:dyDescent="0.25">
      <c r="A37" s="20"/>
      <c r="B37" s="21"/>
      <c r="C37" s="21"/>
      <c r="D37" s="21"/>
      <c r="E37" s="21"/>
      <c r="F37" s="22"/>
      <c r="G37" s="22"/>
      <c r="H37" s="23"/>
      <c r="I37" s="24"/>
      <c r="J37" s="25"/>
      <c r="K37" s="26"/>
      <c r="L37" s="26"/>
      <c r="M37" s="6"/>
      <c r="N37" s="52"/>
      <c r="O37" s="124"/>
      <c r="P37" s="125"/>
      <c r="Q37" s="125"/>
      <c r="R37" s="126"/>
      <c r="S37" s="126"/>
    </row>
    <row r="38" spans="1:26" ht="19.5" customHeight="1" outlineLevel="1" x14ac:dyDescent="0.25">
      <c r="A38" s="48" t="s">
        <v>32</v>
      </c>
      <c r="B38" s="49">
        <f t="shared" ref="B38:E38" si="8">B40+B41+B42+B43</f>
        <v>11.253693390987531</v>
      </c>
      <c r="C38" s="49">
        <f t="shared" si="8"/>
        <v>16.795962412000002</v>
      </c>
      <c r="D38" s="49">
        <f t="shared" si="8"/>
        <v>0.82586370499999995</v>
      </c>
      <c r="E38" s="49">
        <f t="shared" si="8"/>
        <v>27.223792097987531</v>
      </c>
      <c r="F38" s="49">
        <f>F40+F41+F42+F43</f>
        <v>27.021235504267782</v>
      </c>
      <c r="G38" s="49">
        <f>G40+G41+G42+G43</f>
        <v>1.0071686399698001</v>
      </c>
      <c r="H38" s="50"/>
      <c r="I38" s="50">
        <f>SUM(I40:I43)</f>
        <v>12.320482938442595</v>
      </c>
      <c r="J38" s="50">
        <f>SUM(J40:J43)</f>
        <v>0.43308251518701402</v>
      </c>
      <c r="K38" s="51">
        <f>IF(I38=0,0,J38/I38)</f>
        <v>3.5151423637437298E-2</v>
      </c>
      <c r="L38" s="51">
        <f>+I38/$I$89</f>
        <v>0.17467327538849164</v>
      </c>
      <c r="M38" s="6"/>
      <c r="N38" s="52"/>
      <c r="O38" s="124"/>
      <c r="P38" s="125"/>
      <c r="Q38" s="125"/>
      <c r="R38" s="126"/>
      <c r="S38" s="126"/>
    </row>
    <row r="39" spans="1:26" ht="7.5" customHeight="1" outlineLevel="1" x14ac:dyDescent="0.25">
      <c r="A39" s="20"/>
      <c r="B39" s="21"/>
      <c r="C39" s="21"/>
      <c r="D39" s="21"/>
      <c r="E39" s="21"/>
      <c r="F39" s="22"/>
      <c r="G39" s="22"/>
      <c r="H39" s="23"/>
      <c r="I39" s="24"/>
      <c r="J39" s="25"/>
      <c r="K39" s="26"/>
      <c r="L39" s="26"/>
      <c r="M39" s="6"/>
      <c r="N39" s="52"/>
      <c r="O39" s="124"/>
      <c r="P39" s="125"/>
      <c r="Q39" s="125"/>
      <c r="R39" s="126"/>
      <c r="S39" s="126"/>
    </row>
    <row r="40" spans="1:26" ht="15" customHeight="1" outlineLevel="1" x14ac:dyDescent="0.25">
      <c r="A40" s="55" t="s">
        <v>33</v>
      </c>
      <c r="B40" s="56">
        <f>(MIN((B23-D23)*'data from oilseed masterfile'!X40,B23-D23-G23)*0.79)</f>
        <v>1.0277231020100002</v>
      </c>
      <c r="C40" s="56"/>
      <c r="D40" s="56"/>
      <c r="E40" s="56">
        <f>B40-D40</f>
        <v>1.0277231020100002</v>
      </c>
      <c r="F40" s="56">
        <f>(B40-D40)*0.98</f>
        <v>1.0071686399698001</v>
      </c>
      <c r="G40" s="56">
        <f>F40</f>
        <v>1.0071686399698001</v>
      </c>
      <c r="H40" s="61">
        <v>0.43</v>
      </c>
      <c r="I40" s="58">
        <f>F40*H40</f>
        <v>0.43308251518701402</v>
      </c>
      <c r="J40" s="58">
        <f>G40*H40</f>
        <v>0.43308251518701402</v>
      </c>
      <c r="K40" s="26"/>
      <c r="L40" s="26"/>
      <c r="M40" s="6">
        <f>+IF(H40&lt;15%,1,IF(H40&lt;30%,2,IF(H40&lt;50%,3,4)))</f>
        <v>3</v>
      </c>
      <c r="N40" s="52"/>
      <c r="O40" s="124"/>
      <c r="P40" s="125"/>
      <c r="Q40" s="125"/>
      <c r="R40" s="126"/>
      <c r="S40" s="126"/>
    </row>
    <row r="41" spans="1:26" ht="15" customHeight="1" outlineLevel="1" x14ac:dyDescent="0.25">
      <c r="A41" s="55" t="s">
        <v>34</v>
      </c>
      <c r="B41" s="56">
        <f>(MIN(C23*'data from oilseed masterfile'!X40,C23-(F23-G23))*0.79-B43)</f>
        <v>9.9259702889775294</v>
      </c>
      <c r="C41" s="56"/>
      <c r="D41" s="56">
        <f>+'data from oilseed masterfile'!X35</f>
        <v>0.82586370499999995</v>
      </c>
      <c r="E41" s="56">
        <f>B41-D41</f>
        <v>9.1001065839775297</v>
      </c>
      <c r="F41" s="56">
        <f>(B41-D41)*0.98</f>
        <v>8.9181044522979782</v>
      </c>
      <c r="G41" s="56">
        <v>0</v>
      </c>
      <c r="H41" s="61">
        <v>0.45500000000000002</v>
      </c>
      <c r="I41" s="58">
        <f>F41*H41</f>
        <v>4.0577375257955799</v>
      </c>
      <c r="J41" s="58">
        <f>G41*H41</f>
        <v>0</v>
      </c>
      <c r="K41" s="26"/>
      <c r="L41" s="26"/>
      <c r="M41" s="6">
        <f>+IF(H41&lt;15%,1,IF(H41&lt;30%,2,IF(H41&lt;50%,3,4)))</f>
        <v>3</v>
      </c>
      <c r="N41" s="52"/>
      <c r="O41" s="124"/>
      <c r="P41" s="125"/>
      <c r="Q41" s="125"/>
      <c r="R41" s="126"/>
      <c r="S41" s="128"/>
    </row>
    <row r="42" spans="1:26" ht="15" customHeight="1" outlineLevel="1" x14ac:dyDescent="0.25">
      <c r="A42" s="55" t="s">
        <v>35</v>
      </c>
      <c r="B42" s="56"/>
      <c r="C42" s="56">
        <f>+'data from oilseed masterfile'!X31</f>
        <v>16.795962412000002</v>
      </c>
      <c r="D42" s="56"/>
      <c r="E42" s="56">
        <f>C42</f>
        <v>16.795962412000002</v>
      </c>
      <c r="F42" s="56">
        <f>(C42-D42)</f>
        <v>16.795962412000002</v>
      </c>
      <c r="G42" s="56">
        <v>0</v>
      </c>
      <c r="H42" s="61">
        <v>0.45500000000000002</v>
      </c>
      <c r="I42" s="58">
        <f>F42*H42</f>
        <v>7.6421628974600013</v>
      </c>
      <c r="J42" s="58">
        <f>G42*H42</f>
        <v>0</v>
      </c>
      <c r="K42" s="26"/>
      <c r="L42" s="26"/>
      <c r="M42" s="6">
        <f>+IF(H42&lt;15%,1,IF(H42&lt;30%,2,IF(H42&lt;50%,3,4)))</f>
        <v>3</v>
      </c>
      <c r="N42" s="52"/>
      <c r="O42" s="124"/>
      <c r="P42" s="125"/>
      <c r="Q42" s="125"/>
      <c r="R42" s="126"/>
      <c r="S42" s="128"/>
    </row>
    <row r="43" spans="1:26" ht="15" customHeight="1" outlineLevel="1" x14ac:dyDescent="0.25">
      <c r="A43" s="55" t="s">
        <v>36</v>
      </c>
      <c r="B43" s="56">
        <f>F43</f>
        <v>0.3</v>
      </c>
      <c r="C43" s="56"/>
      <c r="D43" s="56"/>
      <c r="E43" s="56">
        <f>B43+C43-D43</f>
        <v>0.3</v>
      </c>
      <c r="F43" s="56">
        <v>0.3</v>
      </c>
      <c r="G43" s="56">
        <v>0</v>
      </c>
      <c r="H43" s="65">
        <v>0.625</v>
      </c>
      <c r="I43" s="58">
        <f>F43*H43</f>
        <v>0.1875</v>
      </c>
      <c r="J43" s="58">
        <f>G43*H43</f>
        <v>0</v>
      </c>
      <c r="K43" s="26"/>
      <c r="L43" s="26"/>
      <c r="M43" s="6">
        <f>+IF(H43&lt;15%,1,IF(H43&lt;30%,2,IF(H43&lt;50%,3,4)))</f>
        <v>4</v>
      </c>
      <c r="N43" s="52"/>
      <c r="O43" s="124"/>
      <c r="P43" s="125"/>
      <c r="Q43" s="125"/>
      <c r="R43" s="126"/>
      <c r="S43" s="128"/>
    </row>
    <row r="44" spans="1:26" ht="12.75" customHeight="1" outlineLevel="1" x14ac:dyDescent="0.25">
      <c r="A44" s="20"/>
      <c r="B44" s="21"/>
      <c r="C44" s="21"/>
      <c r="D44" s="21"/>
      <c r="E44" s="21"/>
      <c r="F44" s="22"/>
      <c r="G44" s="22"/>
      <c r="H44" s="23"/>
      <c r="I44" s="24"/>
      <c r="J44" s="25"/>
      <c r="K44" s="26"/>
      <c r="L44" s="26"/>
      <c r="M44" s="6"/>
      <c r="N44" s="52"/>
      <c r="O44" s="124"/>
      <c r="P44" s="125"/>
      <c r="Q44" s="125"/>
      <c r="R44" s="126"/>
      <c r="S44" s="126"/>
    </row>
    <row r="45" spans="1:26" ht="19.5" customHeight="1" outlineLevel="1" x14ac:dyDescent="0.25">
      <c r="A45" s="48" t="s">
        <v>37</v>
      </c>
      <c r="B45" s="49">
        <f t="shared" ref="B45:E45" si="9">B47+B48+B49</f>
        <v>11.587284988281851</v>
      </c>
      <c r="C45" s="49">
        <f t="shared" si="9"/>
        <v>0.46855936299999995</v>
      </c>
      <c r="D45" s="49">
        <f t="shared" si="9"/>
        <v>0.61706631000000001</v>
      </c>
      <c r="E45" s="49">
        <f t="shared" si="9"/>
        <v>11.438778041281852</v>
      </c>
      <c r="F45" s="49">
        <f>F47+F48+F49</f>
        <v>11.438778041281852</v>
      </c>
      <c r="G45" s="49">
        <f>G47+G48+G49</f>
        <v>7.6771218041288982</v>
      </c>
      <c r="H45" s="50"/>
      <c r="I45" s="50">
        <f>SUM(I47:I49)</f>
        <v>3.7747967536230114</v>
      </c>
      <c r="J45" s="50">
        <f>SUM(J47:J49)</f>
        <v>2.5334501953625366</v>
      </c>
      <c r="K45" s="51">
        <f>IF(I45=0,0,J45/I45)</f>
        <v>0.67114876924988265</v>
      </c>
      <c r="L45" s="51">
        <f>+I45/$I$89</f>
        <v>5.3517067161697178E-2</v>
      </c>
      <c r="M45" s="6"/>
      <c r="N45" s="52"/>
      <c r="O45" s="124"/>
      <c r="P45" s="125"/>
      <c r="Q45" s="125"/>
      <c r="R45" s="126"/>
      <c r="S45" s="126"/>
    </row>
    <row r="46" spans="1:26" ht="7.5" customHeight="1" outlineLevel="1" x14ac:dyDescent="0.25">
      <c r="A46" s="20"/>
      <c r="B46" s="21"/>
      <c r="C46" s="21"/>
      <c r="D46" s="21"/>
      <c r="E46" s="21"/>
      <c r="F46" s="22"/>
      <c r="G46" s="22"/>
      <c r="H46" s="23"/>
      <c r="I46" s="24"/>
      <c r="J46" s="25"/>
      <c r="K46" s="26"/>
      <c r="L46" s="26"/>
      <c r="M46" s="6"/>
      <c r="N46" s="52"/>
      <c r="O46" s="124"/>
      <c r="P46" s="125"/>
      <c r="Q46" s="125"/>
      <c r="R46" s="126"/>
      <c r="S46" s="126"/>
    </row>
    <row r="47" spans="1:26" ht="15" customHeight="1" outlineLevel="1" x14ac:dyDescent="0.25">
      <c r="A47" s="55" t="s">
        <v>38</v>
      </c>
      <c r="B47" s="56">
        <f>(MIN((B24-D24)*'data from oilseed masterfile'!X41,B24-D24-G24)*0.57)</f>
        <v>8.2941881141288984</v>
      </c>
      <c r="C47" s="56"/>
      <c r="D47" s="56">
        <f>+'data from oilseed masterfile'!X36</f>
        <v>0.61706631000000001</v>
      </c>
      <c r="E47" s="56">
        <f>B47-D47</f>
        <v>7.6771218041288982</v>
      </c>
      <c r="F47" s="56">
        <f>(B47-D47)</f>
        <v>7.6771218041288982</v>
      </c>
      <c r="G47" s="56">
        <f>F47</f>
        <v>7.6771218041288982</v>
      </c>
      <c r="H47" s="61">
        <v>0.33</v>
      </c>
      <c r="I47" s="58">
        <f>F47*H47</f>
        <v>2.5334501953625366</v>
      </c>
      <c r="J47" s="58">
        <f>G47*H47</f>
        <v>2.5334501953625366</v>
      </c>
      <c r="K47" s="26"/>
      <c r="L47" s="26"/>
      <c r="M47" s="6">
        <f>+IF(H47&lt;15%,1,IF(H47&lt;30%,2,IF(H47&lt;50%,3,4)))</f>
        <v>3</v>
      </c>
      <c r="N47" s="52"/>
      <c r="O47" s="124"/>
      <c r="P47" s="125"/>
      <c r="Q47" s="125"/>
      <c r="R47" s="126"/>
      <c r="S47" s="126"/>
    </row>
    <row r="48" spans="1:26" ht="15" customHeight="1" outlineLevel="1" x14ac:dyDescent="0.25">
      <c r="A48" s="55" t="s">
        <v>39</v>
      </c>
      <c r="B48" s="56">
        <f>C24*'data from oilseed masterfile'!X41*0.57</f>
        <v>3.2930968741529529</v>
      </c>
      <c r="C48" s="56"/>
      <c r="D48" s="56"/>
      <c r="E48" s="56">
        <f>B48-D48</f>
        <v>3.2930968741529529</v>
      </c>
      <c r="F48" s="56">
        <f>(B48-D48)</f>
        <v>3.2930968741529529</v>
      </c>
      <c r="G48" s="56">
        <v>0</v>
      </c>
      <c r="H48" s="61">
        <v>0.33</v>
      </c>
      <c r="I48" s="58">
        <f>F48*H48</f>
        <v>1.0867219684704745</v>
      </c>
      <c r="J48" s="58">
        <f>G48*H48</f>
        <v>0</v>
      </c>
      <c r="K48" s="26"/>
      <c r="L48" s="26"/>
      <c r="M48" s="6">
        <f>+IF(H48&lt;15%,1,IF(H48&lt;30%,2,IF(H48&lt;50%,3,4)))</f>
        <v>3</v>
      </c>
      <c r="N48" s="52"/>
      <c r="O48" s="124"/>
      <c r="P48" s="125"/>
      <c r="Q48" s="125"/>
      <c r="R48" s="126"/>
      <c r="S48" s="128"/>
    </row>
    <row r="49" spans="1:26" ht="15" customHeight="1" outlineLevel="1" x14ac:dyDescent="0.25">
      <c r="A49" s="55" t="s">
        <v>40</v>
      </c>
      <c r="B49" s="56"/>
      <c r="C49" s="56">
        <f>+'data from oilseed masterfile'!X32</f>
        <v>0.46855936299999995</v>
      </c>
      <c r="D49" s="56"/>
      <c r="E49" s="56">
        <f>C49</f>
        <v>0.46855936299999995</v>
      </c>
      <c r="F49" s="56">
        <f>IF((C49-D49)&lt;0,0,C49-D49)</f>
        <v>0.46855936299999995</v>
      </c>
      <c r="G49" s="56">
        <v>0</v>
      </c>
      <c r="H49" s="61">
        <v>0.33</v>
      </c>
      <c r="I49" s="58">
        <f>F49*H49</f>
        <v>0.15462458978999999</v>
      </c>
      <c r="J49" s="58">
        <f>G49*H49</f>
        <v>0</v>
      </c>
      <c r="K49" s="26"/>
      <c r="L49" s="26"/>
      <c r="M49" s="6">
        <f>+IF(H49&lt;15%,1,IF(H49&lt;30%,2,IF(H49&lt;50%,3,4)))</f>
        <v>3</v>
      </c>
      <c r="N49" s="52"/>
      <c r="O49" s="124"/>
      <c r="P49" s="125"/>
      <c r="Q49" s="125"/>
      <c r="R49" s="127"/>
      <c r="S49" s="128"/>
      <c r="T49" s="52"/>
      <c r="U49" s="52"/>
      <c r="V49" s="52"/>
      <c r="W49" s="52"/>
      <c r="X49" s="52"/>
      <c r="Y49" s="52"/>
      <c r="Z49" s="52"/>
    </row>
    <row r="50" spans="1:26" ht="12.75" customHeight="1" outlineLevel="1" x14ac:dyDescent="0.25">
      <c r="A50" s="20"/>
      <c r="B50" s="21"/>
      <c r="C50" s="21"/>
      <c r="D50" s="21"/>
      <c r="E50" s="21"/>
      <c r="F50" s="22"/>
      <c r="G50" s="22"/>
      <c r="H50" s="23"/>
      <c r="I50" s="24"/>
      <c r="J50" s="25"/>
      <c r="K50" s="26"/>
      <c r="L50" s="26"/>
      <c r="M50" s="6"/>
      <c r="N50" s="52"/>
      <c r="O50" s="124"/>
      <c r="P50" s="125"/>
      <c r="Q50" s="125"/>
      <c r="R50" s="127"/>
      <c r="S50" s="127"/>
      <c r="T50" s="52"/>
      <c r="U50" s="52"/>
      <c r="V50" s="52"/>
      <c r="W50" s="52"/>
      <c r="X50" s="52"/>
      <c r="Y50" s="52"/>
      <c r="Z50" s="52"/>
    </row>
    <row r="51" spans="1:26" ht="19.5" customHeight="1" outlineLevel="1" x14ac:dyDescent="0.25">
      <c r="A51" s="48" t="s">
        <v>41</v>
      </c>
      <c r="B51" s="49">
        <f t="shared" ref="B51:E51" si="10">B53+B54+B55</f>
        <v>5.1629156296648517</v>
      </c>
      <c r="C51" s="49">
        <f t="shared" si="10"/>
        <v>3.0187648180000002</v>
      </c>
      <c r="D51" s="49">
        <f t="shared" si="10"/>
        <v>0.60089228000000006</v>
      </c>
      <c r="E51" s="49">
        <f t="shared" si="10"/>
        <v>7.5807881676648519</v>
      </c>
      <c r="F51" s="49">
        <f>F53+F54+F55</f>
        <v>7.5807881676648519</v>
      </c>
      <c r="G51" s="49">
        <f>G53+G54+G55</f>
        <v>4.0916209062193074</v>
      </c>
      <c r="H51" s="50"/>
      <c r="I51" s="50">
        <f>SUM(I53:I55)</f>
        <v>2.7290837403593464</v>
      </c>
      <c r="J51" s="50">
        <f>SUM(J53:J55)</f>
        <v>1.4729835262389506</v>
      </c>
      <c r="K51" s="51">
        <f>IF(I51=0,0,J51/I51)</f>
        <v>0.53973555463160638</v>
      </c>
      <c r="L51" s="51">
        <f>+I51/$I$89</f>
        <v>3.8691502445138838E-2</v>
      </c>
      <c r="M51" s="6"/>
      <c r="N51" s="52"/>
      <c r="O51" s="124"/>
      <c r="P51" s="125"/>
      <c r="Q51" s="125"/>
      <c r="R51" s="126"/>
      <c r="S51" s="126"/>
    </row>
    <row r="52" spans="1:26" ht="7.5" customHeight="1" outlineLevel="1" x14ac:dyDescent="0.25">
      <c r="A52" s="20"/>
      <c r="B52" s="21"/>
      <c r="C52" s="21"/>
      <c r="D52" s="21"/>
      <c r="E52" s="21"/>
      <c r="F52" s="22"/>
      <c r="G52" s="22"/>
      <c r="H52" s="23"/>
      <c r="I52" s="24"/>
      <c r="J52" s="25"/>
      <c r="K52" s="26"/>
      <c r="L52" s="26"/>
      <c r="M52" s="6"/>
      <c r="N52" s="52"/>
      <c r="O52" s="124"/>
      <c r="P52" s="125"/>
      <c r="Q52" s="125"/>
      <c r="R52" s="126"/>
      <c r="S52" s="126"/>
    </row>
    <row r="53" spans="1:26" ht="15" customHeight="1" outlineLevel="1" x14ac:dyDescent="0.25">
      <c r="A53" s="55" t="s">
        <v>42</v>
      </c>
      <c r="B53" s="56">
        <f>MIN((B25-D25)*'data from oilseed masterfile'!X42,B25-D25-F25)*55%</f>
        <v>4.6925131862193075</v>
      </c>
      <c r="C53" s="56"/>
      <c r="D53" s="56">
        <f>+'data from oilseed masterfile'!X37</f>
        <v>0.60089228000000006</v>
      </c>
      <c r="E53" s="56">
        <f>B53-D53</f>
        <v>4.0916209062193074</v>
      </c>
      <c r="F53" s="56">
        <f>(B53-D53)</f>
        <v>4.0916209062193074</v>
      </c>
      <c r="G53" s="56">
        <f>F53</f>
        <v>4.0916209062193074</v>
      </c>
      <c r="H53" s="61">
        <v>0.36</v>
      </c>
      <c r="I53" s="58">
        <f>F53*H53</f>
        <v>1.4729835262389506</v>
      </c>
      <c r="J53" s="58">
        <f>G53*H53</f>
        <v>1.4729835262389506</v>
      </c>
      <c r="K53" s="26"/>
      <c r="L53" s="26"/>
      <c r="M53" s="6">
        <f>+IF(H53&lt;15%,1,IF(H53&lt;30%,2,IF(H53&lt;50%,3,4)))</f>
        <v>3</v>
      </c>
      <c r="N53" s="52"/>
      <c r="O53" s="124"/>
      <c r="P53" s="125"/>
      <c r="Q53" s="125"/>
      <c r="R53" s="126"/>
      <c r="S53" s="126"/>
    </row>
    <row r="54" spans="1:26" ht="15" customHeight="1" outlineLevel="1" x14ac:dyDescent="0.25">
      <c r="A54" s="55" t="s">
        <v>43</v>
      </c>
      <c r="B54" s="56">
        <f>C25*'data from oilseed masterfile'!X42*55%</f>
        <v>0.47040244344554466</v>
      </c>
      <c r="C54" s="56"/>
      <c r="D54" s="56"/>
      <c r="E54" s="56">
        <f>B54-D54</f>
        <v>0.47040244344554466</v>
      </c>
      <c r="F54" s="56">
        <f>(B54-D54)</f>
        <v>0.47040244344554466</v>
      </c>
      <c r="G54" s="56">
        <v>0</v>
      </c>
      <c r="H54" s="61">
        <v>0.36</v>
      </c>
      <c r="I54" s="58">
        <f>F54*H54</f>
        <v>0.16934487964039607</v>
      </c>
      <c r="J54" s="58">
        <f>G54*H54</f>
        <v>0</v>
      </c>
      <c r="K54" s="26"/>
      <c r="L54" s="26"/>
      <c r="M54" s="6">
        <f>+IF(H54&lt;15%,1,IF(H54&lt;30%,2,IF(H54&lt;50%,3,4)))</f>
        <v>3</v>
      </c>
      <c r="N54" s="52"/>
      <c r="O54" s="124"/>
      <c r="P54" s="125"/>
      <c r="Q54" s="125"/>
      <c r="R54" s="127"/>
      <c r="S54" s="128"/>
      <c r="T54" s="52"/>
      <c r="U54" s="52"/>
      <c r="V54" s="52"/>
      <c r="W54" s="52"/>
      <c r="X54" s="52"/>
      <c r="Y54" s="52"/>
      <c r="Z54" s="52"/>
    </row>
    <row r="55" spans="1:26" ht="15" customHeight="1" outlineLevel="1" x14ac:dyDescent="0.25">
      <c r="A55" s="55" t="s">
        <v>44</v>
      </c>
      <c r="B55" s="56"/>
      <c r="C55" s="56">
        <f>+'data from oilseed masterfile'!X33</f>
        <v>3.0187648180000002</v>
      </c>
      <c r="D55" s="56"/>
      <c r="E55" s="56">
        <f>C55</f>
        <v>3.0187648180000002</v>
      </c>
      <c r="F55" s="56">
        <f>C55-D55</f>
        <v>3.0187648180000002</v>
      </c>
      <c r="G55" s="56">
        <v>0</v>
      </c>
      <c r="H55" s="61">
        <v>0.36</v>
      </c>
      <c r="I55" s="58">
        <f>F55*H55</f>
        <v>1.0867553344800001</v>
      </c>
      <c r="J55" s="58">
        <f>G55*H55</f>
        <v>0</v>
      </c>
      <c r="K55" s="26"/>
      <c r="L55" s="26"/>
      <c r="M55" s="6">
        <f>+IF(H55&lt;15%,1,IF(H55&lt;30%,2,IF(H55&lt;50%,3,4)))</f>
        <v>3</v>
      </c>
      <c r="N55" s="52"/>
      <c r="O55" s="124"/>
      <c r="P55" s="125"/>
      <c r="Q55" s="125"/>
      <c r="R55" s="127"/>
      <c r="S55" s="128"/>
      <c r="T55" s="52"/>
      <c r="U55" s="52"/>
      <c r="V55" s="52"/>
      <c r="W55" s="52"/>
      <c r="X55" s="52"/>
      <c r="Y55" s="52"/>
      <c r="Z55" s="52"/>
    </row>
    <row r="56" spans="1:26" ht="12.75" customHeight="1" outlineLevel="1" x14ac:dyDescent="0.25">
      <c r="A56" s="20"/>
      <c r="B56" s="21"/>
      <c r="C56" s="21"/>
      <c r="D56" s="21"/>
      <c r="E56" s="21"/>
      <c r="F56" s="22"/>
      <c r="G56" s="22"/>
      <c r="H56" s="23"/>
      <c r="I56" s="24"/>
      <c r="J56" s="25"/>
      <c r="K56" s="26"/>
      <c r="L56" s="26"/>
      <c r="M56" s="6"/>
      <c r="N56" s="52"/>
      <c r="O56" s="124"/>
      <c r="P56" s="125"/>
      <c r="Q56" s="125"/>
      <c r="R56" s="127"/>
      <c r="S56" s="127"/>
      <c r="T56" s="52"/>
      <c r="U56" s="52"/>
      <c r="V56" s="52"/>
      <c r="W56" s="52"/>
      <c r="X56" s="52"/>
      <c r="Y56" s="52"/>
      <c r="Z56" s="52"/>
    </row>
    <row r="57" spans="1:26" ht="19.5" customHeight="1" outlineLevel="1" x14ac:dyDescent="0.25">
      <c r="A57" s="48" t="s">
        <v>45</v>
      </c>
      <c r="B57" s="49">
        <f t="shared" ref="B57:E57" si="11">B59+B60+B61</f>
        <v>0.63200000000000001</v>
      </c>
      <c r="C57" s="49">
        <f t="shared" si="11"/>
        <v>1.6866875220000002</v>
      </c>
      <c r="D57" s="49">
        <f t="shared" si="11"/>
        <v>0.210785326</v>
      </c>
      <c r="E57" s="49">
        <f t="shared" si="11"/>
        <v>2.1079021960000004</v>
      </c>
      <c r="F57" s="49">
        <f>F59+F60+F61</f>
        <v>2.1079021960000004</v>
      </c>
      <c r="G57" s="49">
        <f>G59+G60+G61</f>
        <v>6.1088442000000021E-2</v>
      </c>
      <c r="H57" s="50"/>
      <c r="I57" s="50">
        <f>SUM(I59:I61)</f>
        <v>0.45712376959000001</v>
      </c>
      <c r="J57" s="50">
        <f>SUM(J59:J61)</f>
        <v>5.184432957E-2</v>
      </c>
      <c r="K57" s="51">
        <f>IF(I57=0,0,J57/I57)</f>
        <v>0.11341420643363137</v>
      </c>
      <c r="L57" s="51">
        <f>+I57/$I$89</f>
        <v>6.4808584607571234E-3</v>
      </c>
      <c r="M57" s="6"/>
      <c r="N57" s="52"/>
      <c r="O57" s="124"/>
      <c r="P57" s="125"/>
      <c r="Q57" s="125"/>
      <c r="R57" s="126"/>
      <c r="S57" s="126"/>
    </row>
    <row r="58" spans="1:26" ht="7.5" customHeight="1" outlineLevel="1" x14ac:dyDescent="0.25">
      <c r="A58" s="20"/>
      <c r="B58" s="21"/>
      <c r="C58" s="21"/>
      <c r="D58" s="21"/>
      <c r="E58" s="21"/>
      <c r="F58" s="22"/>
      <c r="G58" s="22"/>
      <c r="H58" s="23"/>
      <c r="I58" s="24"/>
      <c r="J58" s="25"/>
      <c r="K58" s="26"/>
      <c r="L58" s="26"/>
      <c r="M58" s="6"/>
      <c r="N58" s="52"/>
      <c r="O58" s="124"/>
      <c r="P58" s="125"/>
      <c r="Q58" s="125"/>
      <c r="R58" s="126"/>
      <c r="S58" s="126"/>
    </row>
    <row r="59" spans="1:26" ht="15" customHeight="1" outlineLevel="1" x14ac:dyDescent="0.25">
      <c r="A59" s="55" t="s">
        <v>46</v>
      </c>
      <c r="B59" s="56">
        <v>0</v>
      </c>
      <c r="C59" s="56">
        <v>1.6146513130000002</v>
      </c>
      <c r="D59" s="56">
        <v>0.13924574299999998</v>
      </c>
      <c r="E59" s="56">
        <f>B59+C59-D59</f>
        <v>1.4754055700000002</v>
      </c>
      <c r="F59" s="56">
        <f>E59</f>
        <v>1.4754055700000002</v>
      </c>
      <c r="G59" s="56">
        <f>IF(B59&gt;E59,F59,F59*(B59-D59)/E59)</f>
        <v>-0.13924574299999998</v>
      </c>
      <c r="H59" s="63">
        <v>0.16</v>
      </c>
      <c r="I59" s="58">
        <f>F59*H59</f>
        <v>0.23606489120000004</v>
      </c>
      <c r="J59" s="58">
        <f>G59*H59</f>
        <v>-2.2279318879999996E-2</v>
      </c>
      <c r="K59" s="26"/>
      <c r="L59" s="26"/>
      <c r="M59" s="6">
        <f>+IF(H59&lt;15%,1,IF(H59&lt;30%,2,IF(H59&lt;50%,3,4)))</f>
        <v>2</v>
      </c>
      <c r="N59" s="52"/>
      <c r="O59" s="124"/>
      <c r="P59" s="125"/>
      <c r="Q59" s="125"/>
      <c r="R59" s="126"/>
      <c r="S59" s="126"/>
    </row>
    <row r="60" spans="1:26" ht="15" customHeight="1" outlineLevel="4" x14ac:dyDescent="0.25">
      <c r="A60" s="55" t="s">
        <v>47</v>
      </c>
      <c r="B60" s="56">
        <v>0.39600000000000002</v>
      </c>
      <c r="C60" s="56">
        <v>4.1994389999999999E-2</v>
      </c>
      <c r="D60" s="56">
        <v>5.8319490000000003E-3</v>
      </c>
      <c r="E60" s="56">
        <f>B60+C60-D60</f>
        <v>0.43216244100000001</v>
      </c>
      <c r="F60" s="56">
        <f>E60</f>
        <v>0.43216244100000001</v>
      </c>
      <c r="G60" s="56">
        <v>0</v>
      </c>
      <c r="H60" s="61">
        <v>0.34</v>
      </c>
      <c r="I60" s="58">
        <f>F60*H60</f>
        <v>0.14693522994000002</v>
      </c>
      <c r="J60" s="58">
        <f>G60*H60</f>
        <v>0</v>
      </c>
      <c r="K60" s="26"/>
      <c r="L60" s="26"/>
      <c r="M60" s="6">
        <f>+IF(H60&lt;15%,1,IF(H60&lt;30%,2,IF(H60&lt;50%,3,4)))</f>
        <v>3</v>
      </c>
      <c r="N60" s="52"/>
      <c r="O60" s="124"/>
      <c r="P60" s="125"/>
      <c r="Q60" s="125"/>
      <c r="R60" s="127"/>
      <c r="S60" s="128"/>
      <c r="T60" s="52"/>
      <c r="U60" s="52"/>
      <c r="V60" s="52"/>
      <c r="W60" s="52"/>
      <c r="X60" s="52"/>
      <c r="Y60" s="52"/>
      <c r="Z60" s="52"/>
    </row>
    <row r="61" spans="1:26" ht="15" customHeight="1" outlineLevel="4" x14ac:dyDescent="0.25">
      <c r="A61" s="55" t="s">
        <v>48</v>
      </c>
      <c r="B61" s="56">
        <v>0.23599999999999999</v>
      </c>
      <c r="C61" s="56">
        <v>3.0041818999999997E-2</v>
      </c>
      <c r="D61" s="56">
        <v>6.5707634000000001E-2</v>
      </c>
      <c r="E61" s="56">
        <f>B61+C61-D61</f>
        <v>0.200334185</v>
      </c>
      <c r="F61" s="56">
        <f>E61</f>
        <v>0.200334185</v>
      </c>
      <c r="G61" s="56">
        <f>IF(B61&gt;E61,F61,F61*(B61-D61)/E61)</f>
        <v>0.200334185</v>
      </c>
      <c r="H61" s="61">
        <v>0.37</v>
      </c>
      <c r="I61" s="58">
        <f>F61*H61</f>
        <v>7.4123648449999996E-2</v>
      </c>
      <c r="J61" s="58">
        <f>G61*H61</f>
        <v>7.4123648449999996E-2</v>
      </c>
      <c r="K61" s="26"/>
      <c r="L61" s="26"/>
      <c r="M61" s="6">
        <f>+IF(H61&lt;15%,1,IF(H61&lt;30%,2,IF(H61&lt;50%,3,4)))</f>
        <v>3</v>
      </c>
      <c r="N61" s="52"/>
      <c r="O61" s="124"/>
      <c r="P61" s="125"/>
      <c r="Q61" s="125"/>
      <c r="R61" s="127"/>
      <c r="S61" s="128"/>
      <c r="T61" s="52"/>
      <c r="U61" s="52"/>
      <c r="V61" s="52"/>
      <c r="W61" s="52"/>
      <c r="X61" s="52"/>
      <c r="Y61" s="52"/>
      <c r="Z61" s="52"/>
    </row>
    <row r="62" spans="1:26" ht="12.75" customHeight="1" outlineLevel="1" x14ac:dyDescent="0.25">
      <c r="A62" s="20"/>
      <c r="B62" s="21"/>
      <c r="C62" s="21"/>
      <c r="D62" s="21"/>
      <c r="E62" s="21"/>
      <c r="F62" s="22"/>
      <c r="G62" s="22"/>
      <c r="H62" s="23"/>
      <c r="I62" s="24"/>
      <c r="J62" s="25"/>
      <c r="K62" s="26"/>
      <c r="L62" s="26"/>
      <c r="M62" s="6"/>
      <c r="N62" s="52"/>
      <c r="O62" s="124"/>
      <c r="P62" s="125"/>
      <c r="Q62" s="125"/>
      <c r="R62" s="127"/>
      <c r="S62" s="127"/>
      <c r="T62" s="52"/>
      <c r="U62" s="52"/>
      <c r="V62" s="52"/>
      <c r="W62" s="52"/>
      <c r="X62" s="52"/>
      <c r="Y62" s="52"/>
      <c r="Z62" s="52"/>
    </row>
    <row r="63" spans="1:26" ht="19.5" customHeight="1" x14ac:dyDescent="0.25">
      <c r="A63" s="48" t="s">
        <v>49</v>
      </c>
      <c r="B63" s="49">
        <f t="shared" ref="B63:E63" si="12">SUM(B65:B72)</f>
        <v>31.246913390329226</v>
      </c>
      <c r="C63" s="49">
        <f t="shared" si="12"/>
        <v>3.5715268059999996</v>
      </c>
      <c r="D63" s="49">
        <f t="shared" si="12"/>
        <v>1.644104265</v>
      </c>
      <c r="E63" s="49">
        <f t="shared" si="12"/>
        <v>33.174335931329232</v>
      </c>
      <c r="F63" s="49">
        <f>SUM(F65:F72)</f>
        <v>30.021155335822911</v>
      </c>
      <c r="G63" s="49">
        <f>SUM(G65:G72)</f>
        <v>28.140393797822906</v>
      </c>
      <c r="H63" s="50"/>
      <c r="I63" s="50">
        <f>SUM(I65:I72)</f>
        <v>4.355923519284655</v>
      </c>
      <c r="J63" s="50">
        <f>SUM(J65:J72)</f>
        <v>4.1159622355116552</v>
      </c>
      <c r="K63" s="51">
        <f>IF(I63=0,0,J63/I63)</f>
        <v>0.94491150207053975</v>
      </c>
      <c r="L63" s="51">
        <f>+I63/$I$89</f>
        <v>6.1755974360481955E-2</v>
      </c>
      <c r="M63" s="6"/>
      <c r="N63" s="52"/>
      <c r="O63" s="124"/>
      <c r="P63" s="125"/>
      <c r="Q63" s="125"/>
      <c r="R63" s="127"/>
      <c r="S63" s="127"/>
      <c r="T63" s="52"/>
      <c r="U63" s="52"/>
      <c r="V63" s="52"/>
      <c r="W63" s="52"/>
      <c r="X63" s="52"/>
      <c r="Y63" s="52"/>
      <c r="Z63" s="52"/>
    </row>
    <row r="64" spans="1:26" ht="7.5" customHeight="1" outlineLevel="2" x14ac:dyDescent="0.25">
      <c r="A64" s="20"/>
      <c r="B64" s="21"/>
      <c r="C64" s="21"/>
      <c r="D64" s="21"/>
      <c r="E64" s="21"/>
      <c r="F64" s="22"/>
      <c r="G64" s="22"/>
      <c r="H64" s="23"/>
      <c r="I64" s="24"/>
      <c r="J64" s="25"/>
      <c r="K64" s="26"/>
      <c r="L64" s="26"/>
      <c r="M64" s="6"/>
      <c r="N64" s="52"/>
      <c r="O64" s="124"/>
      <c r="P64" s="125"/>
      <c r="Q64" s="125"/>
      <c r="R64" s="127"/>
      <c r="S64" s="127"/>
      <c r="T64" s="52"/>
      <c r="U64" s="52"/>
      <c r="V64" s="52"/>
      <c r="W64" s="52"/>
      <c r="X64" s="52"/>
      <c r="Y64" s="52"/>
      <c r="Z64" s="52"/>
    </row>
    <row r="65" spans="1:26" ht="15" customHeight="1" outlineLevel="4" x14ac:dyDescent="0.25">
      <c r="A65" s="55" t="s">
        <v>50</v>
      </c>
      <c r="B65" s="56">
        <v>3.9725808705722643</v>
      </c>
      <c r="C65" s="56">
        <v>0.47905302099999997</v>
      </c>
      <c r="D65" s="56">
        <v>0.63439333999999992</v>
      </c>
      <c r="E65" s="56">
        <f t="shared" ref="E65:E67" si="13">B65+C65-D65</f>
        <v>3.8172405515722643</v>
      </c>
      <c r="F65" s="56">
        <f>E65</f>
        <v>3.8172405515722643</v>
      </c>
      <c r="G65" s="56">
        <f>+F65</f>
        <v>3.8172405515722643</v>
      </c>
      <c r="H65" s="63">
        <v>0.19</v>
      </c>
      <c r="I65" s="58">
        <f>F65*H65</f>
        <v>0.72527570479873027</v>
      </c>
      <c r="J65" s="58">
        <f>G65*H65</f>
        <v>0.72527570479873027</v>
      </c>
      <c r="K65" s="26"/>
      <c r="L65" s="26"/>
      <c r="M65" s="6">
        <f t="shared" ref="M65:M71" si="14">+IF(H65&lt;15%,1,IF(H65&lt;30%,2,IF(H65&lt;50%,3,4)))</f>
        <v>2</v>
      </c>
      <c r="N65" s="52"/>
      <c r="O65" s="124"/>
      <c r="P65" s="125"/>
      <c r="Q65" s="125"/>
      <c r="R65" s="127"/>
      <c r="S65" s="128"/>
      <c r="T65" s="52"/>
      <c r="U65" s="52"/>
      <c r="V65" s="52"/>
      <c r="W65" s="52"/>
      <c r="X65" s="52"/>
      <c r="Y65" s="52"/>
      <c r="Z65" s="52"/>
    </row>
    <row r="66" spans="1:26" ht="15.75" outlineLevel="4" x14ac:dyDescent="0.25">
      <c r="A66" s="55" t="s">
        <v>51</v>
      </c>
      <c r="B66" s="56">
        <v>1.0000555133292235</v>
      </c>
      <c r="C66" s="56"/>
      <c r="D66" s="56"/>
      <c r="E66" s="56">
        <f t="shared" si="13"/>
        <v>1.0000555133292235</v>
      </c>
      <c r="F66" s="56">
        <v>0.66143706830494176</v>
      </c>
      <c r="G66" s="56">
        <f>+F66</f>
        <v>0.66143706830494176</v>
      </c>
      <c r="H66" s="65">
        <v>0.73</v>
      </c>
      <c r="I66" s="58">
        <f>F66*H66</f>
        <v>0.48284905986260745</v>
      </c>
      <c r="J66" s="58">
        <f>G66*H66</f>
        <v>0.48284905986260745</v>
      </c>
      <c r="K66" s="26"/>
      <c r="L66" s="26"/>
      <c r="M66" s="6">
        <f t="shared" si="14"/>
        <v>4</v>
      </c>
      <c r="N66" s="52"/>
      <c r="O66" s="124"/>
      <c r="P66" s="125"/>
      <c r="Q66" s="125"/>
      <c r="R66" s="127"/>
      <c r="S66" s="128"/>
      <c r="T66" s="52"/>
      <c r="U66" s="52"/>
      <c r="V66" s="52"/>
      <c r="W66" s="52"/>
      <c r="X66" s="52"/>
      <c r="Y66" s="52"/>
      <c r="Z66" s="52"/>
    </row>
    <row r="67" spans="1:26" ht="29.25" customHeight="1" outlineLevel="4" x14ac:dyDescent="0.25">
      <c r="A67" s="66" t="s">
        <v>52</v>
      </c>
      <c r="B67" s="67">
        <f>'data from cereal masterfile'!J60*(I77*0.362+(1-I77)*0.276)</f>
        <v>3.2166280529954108</v>
      </c>
      <c r="C67" s="67">
        <v>0.48270269700000001</v>
      </c>
      <c r="D67" s="67">
        <v>0.44409076000000003</v>
      </c>
      <c r="E67" s="67">
        <f t="shared" si="13"/>
        <v>3.255239989995411</v>
      </c>
      <c r="F67" s="67">
        <f>E67</f>
        <v>3.255239989995411</v>
      </c>
      <c r="G67" s="67">
        <f>IF(B67&gt;E67,F67,F67*(B67-D67)/E67)</f>
        <v>2.7725372929954113</v>
      </c>
      <c r="H67" s="68" t="s">
        <v>53</v>
      </c>
      <c r="I67" s="69">
        <f>(B67-D67)*0.3+C67*0.27</f>
        <v>0.96209091608862318</v>
      </c>
      <c r="J67" s="69">
        <f>(B67-D67)*0.3</f>
        <v>0.83176118789862319</v>
      </c>
      <c r="K67" s="26"/>
      <c r="L67" s="26"/>
      <c r="M67" s="6">
        <v>2</v>
      </c>
      <c r="N67" s="52"/>
      <c r="O67" s="124"/>
      <c r="P67" s="125"/>
      <c r="Q67" s="125"/>
      <c r="R67" s="127"/>
      <c r="S67" s="128"/>
      <c r="T67" s="52"/>
      <c r="U67" s="52"/>
      <c r="V67" s="52"/>
      <c r="W67" s="52"/>
      <c r="X67" s="52"/>
      <c r="Y67" s="52"/>
      <c r="Z67" s="52"/>
    </row>
    <row r="68" spans="1:26" ht="15" customHeight="1" outlineLevel="4" x14ac:dyDescent="0.25">
      <c r="A68" s="55" t="s">
        <v>54</v>
      </c>
      <c r="B68" s="56">
        <v>6.3104832099750006</v>
      </c>
      <c r="C68" s="56"/>
      <c r="D68" s="56"/>
      <c r="E68" s="56">
        <f>B68+C68-D68</f>
        <v>6.3104832099750006</v>
      </c>
      <c r="F68" s="56">
        <f>E68</f>
        <v>6.3104832099750006</v>
      </c>
      <c r="G68" s="56">
        <f>+F68</f>
        <v>6.3104832099750006</v>
      </c>
      <c r="H68" s="57">
        <v>5.3999999999999999E-2</v>
      </c>
      <c r="I68" s="58">
        <f>+F68*$H$68</f>
        <v>0.34076609333865004</v>
      </c>
      <c r="J68" s="58">
        <f>+G68*$H$68</f>
        <v>0.34076609333865004</v>
      </c>
      <c r="K68" s="26"/>
      <c r="L68" s="26"/>
      <c r="M68" s="6">
        <f t="shared" si="14"/>
        <v>1</v>
      </c>
      <c r="N68" s="52"/>
      <c r="O68" s="124"/>
      <c r="P68" s="125"/>
      <c r="Q68" s="125"/>
      <c r="R68" s="127"/>
      <c r="S68" s="128"/>
      <c r="T68" s="52"/>
      <c r="U68" s="52"/>
      <c r="V68" s="52"/>
      <c r="W68" s="52"/>
      <c r="X68" s="52"/>
      <c r="Y68" s="52"/>
      <c r="Z68" s="52"/>
    </row>
    <row r="69" spans="1:26" ht="15" customHeight="1" outlineLevel="4" x14ac:dyDescent="0.25">
      <c r="A69" s="55" t="s">
        <v>55</v>
      </c>
      <c r="B69" s="56">
        <f>('data from cereal masterfile'!J63+'data from cereal masterfile'!J65)*0.15</f>
        <v>7.3906257178343298</v>
      </c>
      <c r="C69" s="56">
        <v>3.5066908000000001E-2</v>
      </c>
      <c r="D69" s="56">
        <v>0.23480794299999999</v>
      </c>
      <c r="E69" s="56">
        <f>B69+C69-D69</f>
        <v>7.19088468283433</v>
      </c>
      <c r="F69" s="56">
        <f>E69</f>
        <v>7.19088468283433</v>
      </c>
      <c r="G69" s="56">
        <f>IF(B69&gt;E69,F69,F69*(B69-D69)/E69)</f>
        <v>7.19088468283433</v>
      </c>
      <c r="H69" s="71">
        <v>0.155</v>
      </c>
      <c r="I69" s="58">
        <f>F69*H69</f>
        <v>1.1145871258393212</v>
      </c>
      <c r="J69" s="58">
        <f>G69*H69</f>
        <v>1.1145871258393212</v>
      </c>
      <c r="K69" s="26"/>
      <c r="L69" s="26"/>
      <c r="M69" s="6">
        <f t="shared" si="14"/>
        <v>2</v>
      </c>
      <c r="N69" s="52"/>
      <c r="O69" s="124"/>
      <c r="P69" s="125"/>
      <c r="Q69" s="125"/>
      <c r="R69" s="127"/>
      <c r="S69" s="128"/>
      <c r="T69" s="52"/>
      <c r="U69" s="72"/>
      <c r="V69" s="73"/>
      <c r="W69" s="73"/>
      <c r="X69" s="73"/>
      <c r="Y69" s="74"/>
      <c r="Z69" s="74"/>
    </row>
    <row r="70" spans="1:26" ht="15.75" outlineLevel="4" x14ac:dyDescent="0.25">
      <c r="A70" s="55" t="s">
        <v>56</v>
      </c>
      <c r="B70" s="56">
        <v>0</v>
      </c>
      <c r="C70" s="56">
        <v>0.215175019</v>
      </c>
      <c r="D70" s="56">
        <v>1.1401805000000001E-2</v>
      </c>
      <c r="E70" s="56">
        <f>B70+C70-D70</f>
        <v>0.20377321399999998</v>
      </c>
      <c r="F70" s="56">
        <f>E70</f>
        <v>0.20377321399999998</v>
      </c>
      <c r="G70" s="56">
        <f>IF(B70&gt;E70,F70,F70*B70/E70)</f>
        <v>0</v>
      </c>
      <c r="H70" s="57">
        <v>7.4999999999999997E-2</v>
      </c>
      <c r="I70" s="58">
        <f>F70*H70</f>
        <v>1.5282991049999998E-2</v>
      </c>
      <c r="J70" s="58">
        <f>G70*H70</f>
        <v>0</v>
      </c>
      <c r="K70" s="26"/>
      <c r="L70" s="26"/>
      <c r="M70" s="6">
        <f t="shared" si="14"/>
        <v>1</v>
      </c>
      <c r="N70" s="52"/>
      <c r="O70" s="124"/>
      <c r="P70" s="125"/>
      <c r="Q70" s="125"/>
      <c r="R70" s="127"/>
      <c r="S70" s="128"/>
      <c r="T70" s="52"/>
      <c r="U70" s="72"/>
      <c r="V70" s="73"/>
      <c r="W70" s="72"/>
      <c r="X70" s="75"/>
      <c r="Y70" s="76"/>
      <c r="Z70" s="74"/>
    </row>
    <row r="71" spans="1:26" ht="15" customHeight="1" outlineLevel="4" x14ac:dyDescent="0.25">
      <c r="A71" s="55" t="s">
        <v>57</v>
      </c>
      <c r="B71" s="56">
        <v>6.1620194276199998</v>
      </c>
      <c r="C71" s="56">
        <v>1.1942856269999997</v>
      </c>
      <c r="D71" s="56">
        <v>9.8708270999999986E-2</v>
      </c>
      <c r="E71" s="56">
        <f>B71+C71-D71</f>
        <v>7.2575967836200004</v>
      </c>
      <c r="F71" s="56">
        <f>E71</f>
        <v>7.2575967836200004</v>
      </c>
      <c r="G71" s="56">
        <f>IF(B71&gt;E71,F71,F71*(B71-D71)/E71)</f>
        <v>6.0633111566200002</v>
      </c>
      <c r="H71" s="57">
        <v>7.9000000000000001E-2</v>
      </c>
      <c r="I71" s="58">
        <f>F71*H71</f>
        <v>0.57335014590597999</v>
      </c>
      <c r="J71" s="58">
        <f>G71*H71</f>
        <v>0.47900158137298005</v>
      </c>
      <c r="K71" s="26"/>
      <c r="L71" s="26"/>
      <c r="M71" s="6">
        <f t="shared" si="14"/>
        <v>1</v>
      </c>
      <c r="N71" s="52"/>
      <c r="O71" s="124"/>
      <c r="P71" s="125"/>
      <c r="Q71" s="125"/>
      <c r="R71" s="127"/>
      <c r="S71" s="128"/>
      <c r="T71" s="52"/>
      <c r="U71" s="52"/>
      <c r="V71" s="52"/>
      <c r="W71" s="52"/>
      <c r="X71" s="52"/>
      <c r="Y71" s="52"/>
      <c r="Z71" s="52"/>
    </row>
    <row r="72" spans="1:26" ht="30" customHeight="1" outlineLevel="4" x14ac:dyDescent="0.25">
      <c r="A72" s="66" t="s">
        <v>58</v>
      </c>
      <c r="B72" s="67">
        <v>3.1945205980030003</v>
      </c>
      <c r="C72" s="67">
        <v>1.165243534</v>
      </c>
      <c r="D72" s="67">
        <v>0.22070214600000002</v>
      </c>
      <c r="E72" s="67">
        <f>B72+C72-D72</f>
        <v>4.1390619860030009</v>
      </c>
      <c r="F72" s="67">
        <f>E72*0.32</f>
        <v>1.3244998355209603</v>
      </c>
      <c r="G72" s="67">
        <f>+IF(B72&gt;F72,F72,B72-D72)</f>
        <v>1.3244998355209603</v>
      </c>
      <c r="H72" s="77" t="s">
        <v>59</v>
      </c>
      <c r="I72" s="69">
        <f>G72*0.107+(F72-G72)*0.042</f>
        <v>0.14172148240074275</v>
      </c>
      <c r="J72" s="69">
        <f>G72*0.107</f>
        <v>0.14172148240074275</v>
      </c>
      <c r="K72" s="26"/>
      <c r="L72" s="26"/>
      <c r="M72" s="6">
        <v>1</v>
      </c>
      <c r="N72" s="52"/>
      <c r="O72" s="124"/>
      <c r="P72" s="125"/>
      <c r="Q72" s="125"/>
      <c r="R72" s="127"/>
      <c r="S72" s="128"/>
      <c r="T72" s="52"/>
      <c r="U72" s="52"/>
      <c r="V72" s="52"/>
      <c r="W72" s="52"/>
      <c r="X72" s="52"/>
      <c r="Y72" s="52"/>
      <c r="Z72" s="52"/>
    </row>
    <row r="73" spans="1:26" ht="12.75" customHeight="1" x14ac:dyDescent="0.25">
      <c r="A73" s="20"/>
      <c r="B73" s="21"/>
      <c r="C73" s="21"/>
      <c r="D73" s="21"/>
      <c r="E73" s="21"/>
      <c r="F73" s="22"/>
      <c r="G73" s="22"/>
      <c r="H73" s="23"/>
      <c r="I73" s="24"/>
      <c r="J73" s="25"/>
      <c r="K73" s="26"/>
      <c r="L73" s="26"/>
      <c r="M73" s="6"/>
      <c r="N73" s="52"/>
      <c r="O73" s="124"/>
      <c r="P73" s="125"/>
      <c r="Q73" s="125"/>
      <c r="R73" s="127"/>
      <c r="S73" s="127"/>
      <c r="T73" s="52"/>
      <c r="U73" s="52"/>
      <c r="V73" s="52"/>
      <c r="W73" s="52"/>
      <c r="X73" s="52"/>
      <c r="Y73" s="52"/>
      <c r="Z73" s="52"/>
    </row>
    <row r="74" spans="1:26" ht="36.75" customHeight="1" x14ac:dyDescent="0.25">
      <c r="A74" s="27" t="s">
        <v>60</v>
      </c>
      <c r="B74" s="28"/>
      <c r="C74" s="28"/>
      <c r="D74" s="28"/>
      <c r="E74" s="28"/>
      <c r="F74" s="29">
        <f>SUM(F76:F80)</f>
        <v>5.715932486566623</v>
      </c>
      <c r="G74" s="29">
        <f>SUM(G76:G80)</f>
        <v>5.5403544536223155</v>
      </c>
      <c r="H74" s="30"/>
      <c r="I74" s="30">
        <f>SUM(I76:I80)</f>
        <v>1.6612372433570064</v>
      </c>
      <c r="J74" s="30">
        <f>SUM(J76:J80)</f>
        <v>1.5496818246067026</v>
      </c>
      <c r="K74" s="31">
        <f>IF(I74=0,0,J74/I74)</f>
        <v>0.932847990739195</v>
      </c>
      <c r="L74" s="31">
        <f>+I74/$I$89</f>
        <v>2.3552140930215626E-2</v>
      </c>
      <c r="M74" s="6"/>
      <c r="N74" s="52"/>
      <c r="O74" s="124"/>
      <c r="P74" s="125"/>
      <c r="Q74" s="125"/>
      <c r="R74" s="127"/>
      <c r="S74" s="127"/>
      <c r="T74" s="52"/>
      <c r="U74" s="52"/>
      <c r="V74" s="52"/>
      <c r="W74" s="52"/>
      <c r="X74" s="52"/>
      <c r="Y74" s="52"/>
      <c r="Z74" s="52"/>
    </row>
    <row r="75" spans="1:26" ht="14.25" customHeight="1" outlineLevel="1" x14ac:dyDescent="0.25">
      <c r="A75" s="20" t="s">
        <v>61</v>
      </c>
      <c r="B75" s="21"/>
      <c r="C75" s="21"/>
      <c r="D75" s="21"/>
      <c r="E75" s="21"/>
      <c r="F75" s="22"/>
      <c r="G75" s="22"/>
      <c r="H75" s="23"/>
      <c r="I75" s="24"/>
      <c r="J75" s="25"/>
      <c r="K75" s="26"/>
      <c r="L75" s="26"/>
      <c r="M75" s="6"/>
      <c r="N75" s="52"/>
      <c r="O75" s="124"/>
      <c r="P75" s="125"/>
      <c r="Q75" s="125"/>
      <c r="R75" s="127"/>
      <c r="S75" s="127"/>
      <c r="T75" s="52"/>
      <c r="U75" s="52"/>
      <c r="V75" s="52"/>
      <c r="W75" s="52"/>
      <c r="X75" s="52"/>
      <c r="Y75" s="52"/>
      <c r="Z75" s="52"/>
    </row>
    <row r="76" spans="1:26" ht="15" customHeight="1" outlineLevel="1" x14ac:dyDescent="0.25">
      <c r="A76" s="55" t="s">
        <v>62</v>
      </c>
      <c r="B76" s="56">
        <v>0.38600000000000001</v>
      </c>
      <c r="C76" s="56">
        <v>0.25233304600000001</v>
      </c>
      <c r="D76" s="56">
        <v>0.171951408</v>
      </c>
      <c r="E76" s="56">
        <f>B76+C76-D76</f>
        <v>0.4663816380000001</v>
      </c>
      <c r="F76" s="56">
        <f>E76</f>
        <v>0.4663816380000001</v>
      </c>
      <c r="G76" s="56">
        <f>IF(B76&gt;E76,F76,F76*B76/E76)</f>
        <v>0.38600000000000001</v>
      </c>
      <c r="H76" s="65">
        <v>0.65</v>
      </c>
      <c r="I76" s="58">
        <f>F76*H76</f>
        <v>0.30314806470000005</v>
      </c>
      <c r="J76" s="58">
        <f>G76*H76</f>
        <v>0.25090000000000001</v>
      </c>
      <c r="K76" s="26"/>
      <c r="L76" s="26"/>
      <c r="M76" s="6">
        <f>+IF(H76&lt;15%,1,IF(H76&lt;30%,2,IF(H76&lt;50%,3,4)))</f>
        <v>4</v>
      </c>
      <c r="N76" s="52"/>
      <c r="O76" s="124"/>
      <c r="P76" s="125"/>
      <c r="Q76" s="125"/>
      <c r="R76" s="127"/>
      <c r="S76" s="125"/>
      <c r="T76" s="52"/>
      <c r="U76" s="52"/>
      <c r="V76" s="52"/>
      <c r="W76" s="52"/>
      <c r="X76" s="52"/>
      <c r="Y76" s="52"/>
      <c r="Z76" s="52"/>
    </row>
    <row r="77" spans="1:26" ht="15.75" outlineLevel="1" x14ac:dyDescent="0.25">
      <c r="A77" s="55" t="s">
        <v>63</v>
      </c>
      <c r="B77" s="56">
        <v>2.0992970460230138</v>
      </c>
      <c r="C77" s="56">
        <v>0.11363555800000001</v>
      </c>
      <c r="D77" s="56">
        <v>0.81973053099999993</v>
      </c>
      <c r="E77" s="56">
        <f>B77+C77-D77</f>
        <v>1.3932020730230139</v>
      </c>
      <c r="F77" s="56">
        <v>0.57699999999999996</v>
      </c>
      <c r="G77" s="56">
        <f>+F77</f>
        <v>0.57699999999999996</v>
      </c>
      <c r="H77" s="57">
        <v>0.125</v>
      </c>
      <c r="I77" s="58">
        <f>F77*H77</f>
        <v>7.2124999999999995E-2</v>
      </c>
      <c r="J77" s="58">
        <f>G77*H77</f>
        <v>7.2124999999999995E-2</v>
      </c>
      <c r="K77" s="26"/>
      <c r="L77" s="26"/>
      <c r="M77" s="6">
        <f>+IF(H77&lt;15%,1,IF(H77&lt;30%,2,IF(H77&lt;50%,3,4)))</f>
        <v>1</v>
      </c>
      <c r="N77" s="52"/>
      <c r="O77" s="124"/>
      <c r="P77" s="125"/>
      <c r="Q77" s="125"/>
      <c r="R77" s="127"/>
      <c r="S77" s="125"/>
      <c r="T77" s="52"/>
      <c r="U77" s="52"/>
      <c r="V77" s="52"/>
      <c r="W77" s="52"/>
      <c r="X77" s="52"/>
      <c r="Y77" s="52"/>
      <c r="Z77" s="52"/>
    </row>
    <row r="78" spans="1:26" ht="15" customHeight="1" outlineLevel="1" x14ac:dyDescent="0.25">
      <c r="A78" s="55" t="s">
        <v>64</v>
      </c>
      <c r="B78" s="56">
        <v>1.4857545000000001</v>
      </c>
      <c r="C78" s="56">
        <v>5.3431441000000003E-2</v>
      </c>
      <c r="D78" s="56">
        <v>0.8699852979999998</v>
      </c>
      <c r="E78" s="56">
        <f>B78+C78-D78</f>
        <v>0.66920064300000037</v>
      </c>
      <c r="F78" s="56">
        <v>0.14499999999999999</v>
      </c>
      <c r="G78" s="56">
        <f>+F78</f>
        <v>0.14499999999999999</v>
      </c>
      <c r="H78" s="61">
        <v>0.34</v>
      </c>
      <c r="I78" s="58">
        <f>F78*H78</f>
        <v>4.9300000000000004E-2</v>
      </c>
      <c r="J78" s="58">
        <f>G78*H78</f>
        <v>4.9300000000000004E-2</v>
      </c>
      <c r="K78" s="26"/>
      <c r="L78" s="26"/>
      <c r="M78" s="6">
        <f>+IF(H78&lt;15%,1,IF(H78&lt;30%,2,IF(H78&lt;50%,3,4)))</f>
        <v>3</v>
      </c>
      <c r="N78" s="52"/>
      <c r="O78" s="124"/>
      <c r="P78" s="125"/>
      <c r="Q78" s="125"/>
      <c r="R78" s="127"/>
      <c r="S78" s="125"/>
      <c r="T78" s="52"/>
      <c r="U78" s="52"/>
      <c r="V78" s="52"/>
      <c r="W78" s="52"/>
      <c r="X78" s="52"/>
      <c r="Y78" s="52"/>
      <c r="Z78" s="52"/>
    </row>
    <row r="79" spans="1:26" ht="15" customHeight="1" outlineLevel="1" x14ac:dyDescent="0.25">
      <c r="A79" s="55" t="s">
        <v>65</v>
      </c>
      <c r="B79" s="56">
        <v>2.6832594378825276</v>
      </c>
      <c r="C79" s="56">
        <v>0.12216667599999999</v>
      </c>
      <c r="D79" s="56">
        <v>1.093297162</v>
      </c>
      <c r="E79" s="56">
        <v>1.8521752764091519</v>
      </c>
      <c r="F79" s="56">
        <v>1.5275508485666232</v>
      </c>
      <c r="G79" s="56">
        <v>1.4323544536223152</v>
      </c>
      <c r="H79" s="65">
        <v>0.623</v>
      </c>
      <c r="I79" s="58">
        <f>F79*H79</f>
        <v>0.95166417865700625</v>
      </c>
      <c r="J79" s="58">
        <f>G79*H79</f>
        <v>0.8923568246067024</v>
      </c>
      <c r="K79" s="78"/>
      <c r="L79" s="78"/>
      <c r="M79" s="6">
        <f>+IF(H79&lt;15%,1,IF(H79&lt;30%,2,IF(H79&lt;50%,3,4)))</f>
        <v>4</v>
      </c>
      <c r="N79" s="52"/>
      <c r="O79" s="124"/>
      <c r="P79" s="125"/>
      <c r="Q79" s="125"/>
      <c r="R79" s="127"/>
      <c r="S79" s="125"/>
      <c r="T79" s="52"/>
      <c r="U79" s="52"/>
      <c r="V79" s="52"/>
      <c r="W79" s="52"/>
      <c r="X79" s="52"/>
      <c r="Y79" s="52"/>
      <c r="Z79" s="52"/>
    </row>
    <row r="80" spans="1:26" ht="15" customHeight="1" outlineLevel="1" x14ac:dyDescent="0.25">
      <c r="A80" s="55" t="s">
        <v>66</v>
      </c>
      <c r="B80" s="79"/>
      <c r="C80" s="79"/>
      <c r="D80" s="79"/>
      <c r="E80" s="79"/>
      <c r="F80" s="79">
        <v>3</v>
      </c>
      <c r="G80" s="79">
        <v>3</v>
      </c>
      <c r="H80" s="57">
        <f>0.095</f>
        <v>9.5000000000000001E-2</v>
      </c>
      <c r="I80" s="58">
        <f>F80*H80</f>
        <v>0.28500000000000003</v>
      </c>
      <c r="J80" s="58">
        <f>G80*H80</f>
        <v>0.28500000000000003</v>
      </c>
      <c r="K80" s="26"/>
      <c r="L80" s="26"/>
      <c r="M80" s="6">
        <f>+IF(H80&lt;15%,1,IF(H80&lt;30%,2,IF(H80&lt;50%,3,4)))</f>
        <v>1</v>
      </c>
      <c r="O80" s="124"/>
      <c r="P80" s="125"/>
      <c r="Q80" s="125"/>
      <c r="R80" s="126"/>
      <c r="S80" s="125"/>
    </row>
    <row r="81" spans="1:26" ht="12.75" customHeight="1" x14ac:dyDescent="0.25">
      <c r="A81" s="80"/>
      <c r="B81" s="24"/>
      <c r="C81" s="24"/>
      <c r="D81" s="24"/>
      <c r="E81" s="24"/>
      <c r="F81" s="25"/>
      <c r="G81" s="25"/>
      <c r="H81" s="81"/>
      <c r="I81" s="24"/>
      <c r="J81" s="25"/>
      <c r="K81" s="26"/>
      <c r="L81" s="26"/>
      <c r="M81" s="6"/>
      <c r="O81" s="124"/>
      <c r="P81" s="125"/>
      <c r="Q81" s="125"/>
      <c r="R81" s="126"/>
      <c r="S81" s="126"/>
    </row>
    <row r="82" spans="1:26" ht="35.25" customHeight="1" x14ac:dyDescent="0.25">
      <c r="A82" s="27" t="s">
        <v>67</v>
      </c>
      <c r="B82" s="28"/>
      <c r="C82" s="28"/>
      <c r="D82" s="28"/>
      <c r="E82" s="28"/>
      <c r="F82" s="82">
        <f>SUM(F84:F87)</f>
        <v>914.2571953565714</v>
      </c>
      <c r="G82" s="82">
        <f>SUM(G84:G87)</f>
        <v>914.2571953565714</v>
      </c>
      <c r="H82" s="30"/>
      <c r="I82" s="82">
        <f>SUM(I84:I87)</f>
        <v>28.523594788238746</v>
      </c>
      <c r="J82" s="82">
        <f>SUM(J84:J87)</f>
        <v>28.523594788238746</v>
      </c>
      <c r="K82" s="31">
        <f>IF(I82=0,0,J82/I82)</f>
        <v>1</v>
      </c>
      <c r="L82" s="31">
        <f>+I82/$I$89</f>
        <v>0.40439240510368946</v>
      </c>
      <c r="M82" s="6"/>
      <c r="O82" s="124"/>
      <c r="P82" s="125"/>
      <c r="Q82" s="125"/>
      <c r="R82" s="126"/>
      <c r="S82" s="126"/>
    </row>
    <row r="83" spans="1:26" ht="7.5" customHeight="1" outlineLevel="1" x14ac:dyDescent="0.25">
      <c r="A83" s="83"/>
      <c r="B83" s="84"/>
      <c r="C83" s="84"/>
      <c r="D83" s="84"/>
      <c r="E83" s="84"/>
      <c r="F83" s="85"/>
      <c r="G83" s="85"/>
      <c r="H83" s="86"/>
      <c r="I83" s="87"/>
      <c r="J83" s="88"/>
      <c r="K83" s="89"/>
      <c r="L83" s="90"/>
      <c r="M83" s="6"/>
      <c r="N83" s="52"/>
      <c r="O83" s="124"/>
      <c r="P83" s="125"/>
      <c r="Q83" s="125"/>
      <c r="R83" s="126"/>
      <c r="S83" s="126"/>
    </row>
    <row r="84" spans="1:26" ht="15" customHeight="1" outlineLevel="1" x14ac:dyDescent="0.25">
      <c r="A84" s="55" t="s">
        <v>68</v>
      </c>
      <c r="B84" s="79">
        <v>593.28327946283014</v>
      </c>
      <c r="C84" s="79"/>
      <c r="D84" s="79"/>
      <c r="E84" s="79">
        <f>+B84+C84-D84</f>
        <v>593.28327946283014</v>
      </c>
      <c r="F84" s="79">
        <f t="shared" ref="F84:G86" si="15">+E84</f>
        <v>593.28327946283014</v>
      </c>
      <c r="G84" s="79">
        <f t="shared" si="15"/>
        <v>593.28327946283014</v>
      </c>
      <c r="H84" s="57">
        <v>2.6066712037040814E-2</v>
      </c>
      <c r="I84" s="79">
        <f>+F84*H84</f>
        <v>15.464944402148804</v>
      </c>
      <c r="J84" s="79">
        <f>+H84*G84</f>
        <v>15.464944402148804</v>
      </c>
      <c r="K84" s="93"/>
      <c r="L84" s="93"/>
      <c r="M84" s="6">
        <f>+IF(H84&lt;15%,1,IF(H84&lt;30%,2,IF(H84&lt;50%,3,4)))</f>
        <v>1</v>
      </c>
      <c r="O84" s="124"/>
      <c r="P84" s="125"/>
      <c r="Q84" s="125"/>
      <c r="R84" s="126"/>
      <c r="S84" s="125"/>
    </row>
    <row r="85" spans="1:26" s="96" customFormat="1" ht="15" customHeight="1" outlineLevel="1" x14ac:dyDescent="0.2">
      <c r="A85" s="55" t="s">
        <v>69</v>
      </c>
      <c r="B85" s="79">
        <v>239.80271999999999</v>
      </c>
      <c r="C85" s="79"/>
      <c r="D85" s="79"/>
      <c r="E85" s="79">
        <f>+B85+C85-D85</f>
        <v>239.80271999999999</v>
      </c>
      <c r="F85" s="79">
        <f t="shared" si="15"/>
        <v>239.80271999999999</v>
      </c>
      <c r="G85" s="79">
        <f t="shared" si="15"/>
        <v>239.80271999999999</v>
      </c>
      <c r="H85" s="57">
        <v>2.9487499999999996E-2</v>
      </c>
      <c r="I85" s="79">
        <f>+F85*H85</f>
        <v>7.0711827059999992</v>
      </c>
      <c r="J85" s="79">
        <f>+H85*G85</f>
        <v>7.0711827059999992</v>
      </c>
      <c r="K85" s="94"/>
      <c r="L85" s="94"/>
      <c r="M85" s="6">
        <f>+IF(H85&lt;15%,1,IF(H85&lt;30%,2,IF(H85&lt;50%,3,4)))</f>
        <v>1</v>
      </c>
      <c r="N85" s="95"/>
      <c r="O85" s="124"/>
      <c r="P85" s="125"/>
      <c r="Q85" s="125"/>
      <c r="R85" s="129"/>
      <c r="S85" s="125"/>
      <c r="T85" s="95"/>
      <c r="U85" s="95"/>
      <c r="V85" s="95"/>
      <c r="W85" s="95"/>
      <c r="X85" s="95"/>
      <c r="Y85" s="95"/>
      <c r="Z85" s="95"/>
    </row>
    <row r="86" spans="1:26" ht="15" customHeight="1" outlineLevel="1" x14ac:dyDescent="0.25">
      <c r="A86" s="55" t="s">
        <v>70</v>
      </c>
      <c r="B86" s="79">
        <v>79.791987965741228</v>
      </c>
      <c r="C86" s="79"/>
      <c r="D86" s="79"/>
      <c r="E86" s="79">
        <f>+B86+C86-D86</f>
        <v>79.791987965741228</v>
      </c>
      <c r="F86" s="79">
        <f t="shared" si="15"/>
        <v>79.791987965741228</v>
      </c>
      <c r="G86" s="79">
        <f t="shared" si="15"/>
        <v>79.791987965741228</v>
      </c>
      <c r="H86" s="57">
        <v>7.2099999999999997E-2</v>
      </c>
      <c r="I86" s="79">
        <f>+F86*H86</f>
        <v>5.7530023323299426</v>
      </c>
      <c r="J86" s="79">
        <f>+H86*G86</f>
        <v>5.7530023323299426</v>
      </c>
      <c r="K86" s="94"/>
      <c r="L86" s="94"/>
      <c r="M86" s="6">
        <f>+IF(H86&lt;15%,1,IF(H86&lt;30%,2,IF(H86&lt;50%,3,4)))</f>
        <v>1</v>
      </c>
      <c r="O86" s="124"/>
      <c r="P86" s="125"/>
      <c r="Q86" s="125"/>
      <c r="R86" s="126"/>
      <c r="S86" s="125"/>
    </row>
    <row r="87" spans="1:26" ht="14.25" customHeight="1" outlineLevel="1" x14ac:dyDescent="0.25">
      <c r="A87" s="55" t="s">
        <v>71</v>
      </c>
      <c r="B87" s="56">
        <v>3.438625</v>
      </c>
      <c r="C87" s="56">
        <v>3.6126475000000005E-2</v>
      </c>
      <c r="D87" s="56">
        <v>2.0955435469999992</v>
      </c>
      <c r="E87" s="56">
        <f>B87+C87-D87</f>
        <v>1.3792079280000009</v>
      </c>
      <c r="F87" s="56">
        <f>E87</f>
        <v>1.3792079280000009</v>
      </c>
      <c r="G87" s="56">
        <f>IF(B87&gt;E87,F87,F87*B87/E87)</f>
        <v>1.3792079280000009</v>
      </c>
      <c r="H87" s="71">
        <v>0.17</v>
      </c>
      <c r="I87" s="56">
        <f>F87*H87</f>
        <v>0.23446534776000016</v>
      </c>
      <c r="J87" s="56">
        <f>G87*H87</f>
        <v>0.23446534776000016</v>
      </c>
      <c r="K87" s="94"/>
      <c r="L87" s="94"/>
      <c r="M87" s="6">
        <f>+IF(H87&lt;15%,1,IF(H87&lt;30%,2,IF(H87&lt;50%,3,4)))</f>
        <v>2</v>
      </c>
      <c r="O87" s="124"/>
      <c r="P87" s="125"/>
      <c r="Q87" s="125"/>
      <c r="R87" s="126"/>
      <c r="S87" s="125"/>
    </row>
    <row r="88" spans="1:26" ht="12.75" customHeight="1" x14ac:dyDescent="0.25">
      <c r="A88" s="80"/>
      <c r="B88" s="21"/>
      <c r="C88" s="21"/>
      <c r="D88" s="21"/>
      <c r="E88" s="21"/>
      <c r="F88" s="22"/>
      <c r="G88" s="22"/>
      <c r="H88" s="23"/>
      <c r="I88" s="24"/>
      <c r="J88" s="25"/>
      <c r="K88" s="26"/>
      <c r="L88" s="26"/>
      <c r="M88" s="6"/>
      <c r="O88" s="124"/>
      <c r="P88" s="125"/>
      <c r="Q88" s="125"/>
      <c r="R88" s="126"/>
      <c r="S88" s="125"/>
    </row>
    <row r="89" spans="1:26" ht="36.75" customHeight="1" x14ac:dyDescent="0.25">
      <c r="A89" s="27" t="s">
        <v>72</v>
      </c>
      <c r="B89" s="28"/>
      <c r="C89" s="28"/>
      <c r="D89" s="28"/>
      <c r="E89" s="28"/>
      <c r="F89" s="82"/>
      <c r="G89" s="82"/>
      <c r="H89" s="30"/>
      <c r="I89" s="82">
        <f>+I74+I82+I34+I6</f>
        <v>70.534447304778311</v>
      </c>
      <c r="J89" s="82">
        <f>+J74+J82+J34+J6</f>
        <v>53.658991341016993</v>
      </c>
      <c r="K89" s="31">
        <f>IF(I89=0,0,J89/I89)</f>
        <v>0.76074873188071179</v>
      </c>
      <c r="L89" s="31"/>
      <c r="M89" s="6"/>
      <c r="O89" s="124"/>
      <c r="P89" s="125"/>
      <c r="Q89" s="125"/>
      <c r="R89" s="126"/>
      <c r="S89" s="126"/>
    </row>
    <row r="90" spans="1:26" x14ac:dyDescent="0.25">
      <c r="A90" s="97" t="s">
        <v>73</v>
      </c>
      <c r="B90" s="98"/>
      <c r="C90" s="98"/>
      <c r="D90" s="98"/>
      <c r="E90" s="98"/>
      <c r="F90" s="98"/>
      <c r="G90" s="98"/>
      <c r="H90" s="99"/>
      <c r="I90" s="5"/>
      <c r="J90" s="5"/>
      <c r="K90" s="5"/>
      <c r="L90" s="5"/>
      <c r="M90" s="6"/>
      <c r="O90" s="52"/>
    </row>
    <row r="91" spans="1:26" x14ac:dyDescent="0.25">
      <c r="A91" s="100" t="s">
        <v>74</v>
      </c>
      <c r="B91" s="101"/>
      <c r="C91" s="102"/>
      <c r="D91" s="102"/>
      <c r="E91" s="103"/>
      <c r="F91" s="103"/>
      <c r="G91" s="103"/>
      <c r="H91" s="104">
        <v>1</v>
      </c>
      <c r="I91" s="105">
        <f t="shared" ref="I91:J94" si="16">+SUMIF($M$7:$M$89,$H91,I$7:I$89)</f>
        <v>45.29699786677412</v>
      </c>
      <c r="J91" s="105">
        <f t="shared" si="16"/>
        <v>43.534949778958477</v>
      </c>
      <c r="K91" s="106">
        <f>+J91/I91</f>
        <v>0.96110011323491873</v>
      </c>
      <c r="L91" s="5"/>
      <c r="M91" s="6"/>
      <c r="O91" s="52"/>
    </row>
    <row r="92" spans="1:26" x14ac:dyDescent="0.25">
      <c r="A92" s="107" t="s">
        <v>75</v>
      </c>
      <c r="B92" s="108"/>
      <c r="C92" s="109"/>
      <c r="D92" s="109"/>
      <c r="E92" s="110"/>
      <c r="F92" s="110"/>
      <c r="G92" s="110"/>
      <c r="H92" s="111">
        <v>2</v>
      </c>
      <c r="I92" s="112">
        <f t="shared" si="16"/>
        <v>3.8120297875205744</v>
      </c>
      <c r="J92" s="112">
        <f t="shared" si="16"/>
        <v>3.400472118968382</v>
      </c>
      <c r="K92" s="113">
        <f>+J92/I92</f>
        <v>0.89203713205507806</v>
      </c>
      <c r="L92" s="5"/>
      <c r="M92" s="6"/>
      <c r="O92" s="52"/>
    </row>
    <row r="93" spans="1:26" x14ac:dyDescent="0.25">
      <c r="A93" s="114" t="s">
        <v>76</v>
      </c>
      <c r="B93" s="110"/>
      <c r="C93" s="110"/>
      <c r="D93" s="110"/>
      <c r="E93" s="110"/>
      <c r="F93" s="110"/>
      <c r="G93" s="110"/>
      <c r="H93" s="115">
        <v>3</v>
      </c>
      <c r="I93" s="112">
        <f t="shared" si="16"/>
        <v>19.436107036557953</v>
      </c>
      <c r="J93" s="112">
        <f t="shared" si="16"/>
        <v>5.0333122479147772</v>
      </c>
      <c r="K93" s="113">
        <f>+J93/I93</f>
        <v>0.25896709862975492</v>
      </c>
      <c r="L93" s="5"/>
      <c r="M93" s="6"/>
      <c r="O93" s="52"/>
    </row>
    <row r="94" spans="1:26" x14ac:dyDescent="0.25">
      <c r="A94" s="116" t="s">
        <v>77</v>
      </c>
      <c r="B94" s="117"/>
      <c r="C94" s="117"/>
      <c r="D94" s="117"/>
      <c r="E94" s="117"/>
      <c r="F94" s="117"/>
      <c r="G94" s="117"/>
      <c r="H94" s="118">
        <v>4</v>
      </c>
      <c r="I94" s="119">
        <f t="shared" si="16"/>
        <v>1.9251613032196135</v>
      </c>
      <c r="J94" s="119">
        <f t="shared" si="16"/>
        <v>1.6261058844693099</v>
      </c>
      <c r="K94" s="120">
        <f>+J94/I94</f>
        <v>0.84465955229301182</v>
      </c>
      <c r="L94" s="5"/>
      <c r="M94" s="6"/>
      <c r="O94" s="52"/>
    </row>
    <row r="95" spans="1:26" ht="25.5" customHeight="1" x14ac:dyDescent="0.25">
      <c r="A95" s="303" t="s">
        <v>78</v>
      </c>
      <c r="B95" s="304"/>
      <c r="C95" s="304"/>
      <c r="D95" s="304"/>
      <c r="E95" s="304"/>
      <c r="F95" s="304"/>
      <c r="G95" s="304"/>
      <c r="H95" s="304"/>
      <c r="I95" s="304"/>
      <c r="J95" s="304"/>
      <c r="K95" s="304"/>
      <c r="L95" s="304"/>
      <c r="M95" s="6"/>
    </row>
    <row r="96" spans="1:26" x14ac:dyDescent="0.25">
      <c r="A96" s="5"/>
      <c r="B96" s="98"/>
      <c r="C96" s="98"/>
      <c r="D96" s="98"/>
      <c r="E96" s="98"/>
      <c r="F96" s="98"/>
      <c r="G96" s="98"/>
      <c r="H96" s="99"/>
      <c r="I96" s="5"/>
      <c r="J96" s="5"/>
      <c r="K96" s="5"/>
      <c r="L96" s="5"/>
      <c r="M96" s="6"/>
    </row>
  </sheetData>
  <mergeCells count="4">
    <mergeCell ref="B3:G3"/>
    <mergeCell ref="H3:H4"/>
    <mergeCell ref="I3:J3"/>
    <mergeCell ref="A95:L95"/>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Z96"/>
  <sheetViews>
    <sheetView zoomScale="80" zoomScaleNormal="80" workbookViewId="0"/>
  </sheetViews>
  <sheetFormatPr defaultRowHeight="15" outlineLevelRow="4" outlineLevelCol="1" x14ac:dyDescent="0.25"/>
  <cols>
    <col min="1" max="1" width="46.42578125" customWidth="1"/>
    <col min="2" max="2" width="12.7109375" style="121" customWidth="1" outlineLevel="1"/>
    <col min="3" max="3" width="10.28515625" style="121" customWidth="1" outlineLevel="1"/>
    <col min="4" max="4" width="10.85546875" style="121" customWidth="1" outlineLevel="1"/>
    <col min="5" max="5" width="11" style="121" customWidth="1" outlineLevel="1"/>
    <col min="6" max="6" width="15.42578125" style="121" customWidth="1"/>
    <col min="7" max="7" width="14.85546875" style="121" customWidth="1"/>
    <col min="8" max="8" width="11.140625" style="122" customWidth="1"/>
    <col min="9" max="11" width="12.28515625" customWidth="1"/>
    <col min="12" max="12" width="13.28515625" customWidth="1"/>
    <col min="13" max="13" width="5.5703125" style="123" customWidth="1"/>
    <col min="15" max="15" width="12.42578125" customWidth="1"/>
  </cols>
  <sheetData>
    <row r="1" spans="1:19" s="126" customFormat="1" x14ac:dyDescent="0.25">
      <c r="A1" s="1" t="str">
        <f>"Updated on " &amp; TEXT(Updates!B2,"[$-0809]dd mmm yyyy")</f>
        <v>Updated on 11 Nov 2022</v>
      </c>
      <c r="B1" s="130"/>
      <c r="C1" s="130"/>
      <c r="D1" s="130"/>
      <c r="E1" s="130"/>
      <c r="F1" s="130"/>
      <c r="G1" s="130"/>
      <c r="H1" s="131"/>
      <c r="I1" s="132"/>
      <c r="J1" s="132"/>
      <c r="K1" s="132"/>
      <c r="L1" s="35"/>
      <c r="M1" s="133"/>
    </row>
    <row r="2" spans="1:19" ht="45" x14ac:dyDescent="0.25">
      <c r="A2" s="8" t="s">
        <v>80</v>
      </c>
      <c r="B2" s="9"/>
      <c r="C2" s="9"/>
      <c r="D2" s="9"/>
      <c r="E2" s="9"/>
      <c r="F2" s="9"/>
      <c r="G2" s="9"/>
      <c r="H2" s="9"/>
      <c r="I2" s="9"/>
      <c r="J2" s="9"/>
      <c r="K2" s="9"/>
      <c r="L2" s="5"/>
      <c r="M2" s="6"/>
    </row>
    <row r="3" spans="1:19" ht="44.25" customHeight="1" x14ac:dyDescent="0.25">
      <c r="A3" s="10" t="s">
        <v>82</v>
      </c>
      <c r="B3" s="305" t="s">
        <v>2</v>
      </c>
      <c r="C3" s="306"/>
      <c r="D3" s="306"/>
      <c r="E3" s="306"/>
      <c r="F3" s="306"/>
      <c r="G3" s="307"/>
      <c r="H3" s="308" t="s">
        <v>3</v>
      </c>
      <c r="I3" s="301" t="s">
        <v>4</v>
      </c>
      <c r="J3" s="302"/>
      <c r="K3" s="11"/>
      <c r="L3" s="12"/>
      <c r="M3" s="13"/>
    </row>
    <row r="4" spans="1:19" ht="50.25" customHeight="1" x14ac:dyDescent="0.25">
      <c r="A4" s="14" t="s">
        <v>6</v>
      </c>
      <c r="B4" s="15" t="s">
        <v>7</v>
      </c>
      <c r="C4" s="15" t="s">
        <v>8</v>
      </c>
      <c r="D4" s="16" t="s">
        <v>9</v>
      </c>
      <c r="E4" s="16" t="s">
        <v>10</v>
      </c>
      <c r="F4" s="16" t="s">
        <v>11</v>
      </c>
      <c r="G4" s="16" t="s">
        <v>12</v>
      </c>
      <c r="H4" s="309"/>
      <c r="I4" s="17" t="s">
        <v>13</v>
      </c>
      <c r="J4" s="17" t="s">
        <v>14</v>
      </c>
      <c r="K4" s="16" t="s">
        <v>15</v>
      </c>
      <c r="L4" s="15" t="s">
        <v>16</v>
      </c>
      <c r="M4" s="13"/>
    </row>
    <row r="5" spans="1:19" ht="10.5" customHeight="1" x14ac:dyDescent="0.25">
      <c r="A5" s="20"/>
      <c r="B5" s="21"/>
      <c r="C5" s="21"/>
      <c r="D5" s="21"/>
      <c r="E5" s="21"/>
      <c r="F5" s="22"/>
      <c r="G5" s="22"/>
      <c r="H5" s="23"/>
      <c r="I5" s="24"/>
      <c r="J5" s="25"/>
      <c r="K5" s="26"/>
      <c r="L5" s="26"/>
      <c r="M5" s="6"/>
    </row>
    <row r="6" spans="1:19" ht="36" customHeight="1" x14ac:dyDescent="0.25">
      <c r="A6" s="27" t="s">
        <v>18</v>
      </c>
      <c r="B6" s="28"/>
      <c r="C6" s="28"/>
      <c r="D6" s="28"/>
      <c r="E6" s="28"/>
      <c r="F6" s="29">
        <f>F9+F21+F27</f>
        <v>167.54482049738789</v>
      </c>
      <c r="G6" s="29">
        <f>G9+G21+G27</f>
        <v>142.03266528740696</v>
      </c>
      <c r="H6" s="30"/>
      <c r="I6" s="30">
        <f>I9+I21+I27</f>
        <v>16.942737544205151</v>
      </c>
      <c r="J6" s="30">
        <f>J9+J21+J27</f>
        <v>14.628969796158684</v>
      </c>
      <c r="K6" s="31">
        <f>J6/I6</f>
        <v>0.863436015460333</v>
      </c>
      <c r="L6" s="31">
        <f>+I6/$I$89</f>
        <v>0.24107064540445192</v>
      </c>
      <c r="M6" s="6"/>
      <c r="O6" s="125"/>
      <c r="P6" s="125"/>
      <c r="Q6" s="125"/>
      <c r="R6" s="126"/>
      <c r="S6" s="126"/>
    </row>
    <row r="7" spans="1:19" ht="8.25" customHeight="1" x14ac:dyDescent="0.25">
      <c r="A7" s="20"/>
      <c r="B7" s="21"/>
      <c r="C7" s="21"/>
      <c r="D7" s="21"/>
      <c r="E7" s="21"/>
      <c r="F7" s="22"/>
      <c r="G7" s="22"/>
      <c r="H7" s="23"/>
      <c r="I7" s="24"/>
      <c r="J7" s="25"/>
      <c r="K7" s="26"/>
      <c r="L7" s="26"/>
      <c r="M7" s="6"/>
      <c r="O7" s="125"/>
      <c r="P7" s="125"/>
      <c r="Q7" s="125"/>
      <c r="R7" s="126"/>
      <c r="S7" s="126"/>
    </row>
    <row r="8" spans="1:19" ht="8.25" hidden="1" customHeight="1" x14ac:dyDescent="0.25">
      <c r="A8" s="38"/>
      <c r="B8" s="39"/>
      <c r="C8" s="39"/>
      <c r="D8" s="39"/>
      <c r="E8" s="39"/>
      <c r="F8" s="40"/>
      <c r="G8" s="40"/>
      <c r="H8" s="41"/>
      <c r="I8" s="42"/>
      <c r="J8" s="43"/>
      <c r="K8" s="44"/>
      <c r="L8" s="45"/>
      <c r="M8" s="6"/>
      <c r="O8" s="125"/>
      <c r="P8" s="125"/>
      <c r="Q8" s="125"/>
      <c r="R8" s="126"/>
      <c r="S8" s="126"/>
    </row>
    <row r="9" spans="1:19" ht="22.5" customHeight="1" outlineLevel="1" x14ac:dyDescent="0.25">
      <c r="A9" s="48" t="s">
        <v>83</v>
      </c>
      <c r="B9" s="49">
        <f>SUM(B11:B19)</f>
        <v>268.93180594964178</v>
      </c>
      <c r="C9" s="49">
        <f t="shared" ref="C9:J9" si="0">SUM(C11:C19)</f>
        <v>30.15371146699999</v>
      </c>
      <c r="D9" s="49">
        <f t="shared" si="0"/>
        <v>35.858295596999994</v>
      </c>
      <c r="E9" s="49">
        <f t="shared" si="0"/>
        <v>263.22722181964184</v>
      </c>
      <c r="F9" s="49">
        <f t="shared" si="0"/>
        <v>162.48388404070371</v>
      </c>
      <c r="G9" s="49">
        <f t="shared" si="0"/>
        <v>137.71231556518845</v>
      </c>
      <c r="H9" s="50"/>
      <c r="I9" s="50">
        <f t="shared" si="0"/>
        <v>15.612227244477408</v>
      </c>
      <c r="J9" s="50">
        <f t="shared" si="0"/>
        <v>13.496708448865604</v>
      </c>
      <c r="K9" s="51">
        <f>J9/I9</f>
        <v>0.86449602849842344</v>
      </c>
      <c r="L9" s="51">
        <f>+I9/$I$89</f>
        <v>0.22213940859364847</v>
      </c>
      <c r="M9" s="6"/>
      <c r="N9" s="52"/>
      <c r="O9" s="125"/>
      <c r="P9" s="125"/>
      <c r="Q9" s="125"/>
      <c r="R9" s="126"/>
      <c r="S9" s="126"/>
    </row>
    <row r="10" spans="1:19" ht="7.5" customHeight="1" outlineLevel="1" x14ac:dyDescent="0.25">
      <c r="A10" s="20"/>
      <c r="B10" s="21"/>
      <c r="C10" s="21"/>
      <c r="D10" s="21"/>
      <c r="E10" s="21"/>
      <c r="F10" s="22"/>
      <c r="G10" s="22"/>
      <c r="H10" s="23"/>
      <c r="I10" s="24"/>
      <c r="J10" s="25"/>
      <c r="K10" s="26"/>
      <c r="L10" s="26"/>
      <c r="M10" s="6"/>
      <c r="N10" s="52"/>
      <c r="O10" s="125"/>
      <c r="P10" s="125"/>
      <c r="Q10" s="125"/>
      <c r="R10" s="126"/>
      <c r="S10" s="126"/>
    </row>
    <row r="11" spans="1:19" ht="15" customHeight="1" outlineLevel="1" x14ac:dyDescent="0.25">
      <c r="A11" s="55" t="str">
        <f>+'data from cereal masterfile'!A3</f>
        <v>Common  wheat</v>
      </c>
      <c r="B11" s="56">
        <f>+'data from cereal masterfile'!I3</f>
        <v>114.84770563199999</v>
      </c>
      <c r="C11" s="56">
        <f>+'data from cereal masterfile'!I15</f>
        <v>3.9675738119999999</v>
      </c>
      <c r="D11" s="56">
        <f>+'data from cereal masterfile'!I27</f>
        <v>22.363951480000001</v>
      </c>
      <c r="E11" s="56">
        <f>+B11+C11-D11</f>
        <v>96.451327963999987</v>
      </c>
      <c r="F11" s="56">
        <f>+'data from cereal masterfile'!I39</f>
        <v>44.846444444444444</v>
      </c>
      <c r="G11" s="56">
        <f>IF(B11&gt;E11,F11,F11*B11/E11)-C11</f>
        <v>40.878870632444446</v>
      </c>
      <c r="H11" s="57">
        <v>0.11</v>
      </c>
      <c r="I11" s="58">
        <f>F11*H11</f>
        <v>4.9331088888888885</v>
      </c>
      <c r="J11" s="58">
        <f>G11*H11</f>
        <v>4.4966757695688893</v>
      </c>
      <c r="K11" s="26"/>
      <c r="L11" s="26"/>
      <c r="M11" s="6">
        <f>+IF(H11&lt;15%,1,IF(H11&lt;30%,2,IF(H11&lt;50%,3,4)))</f>
        <v>1</v>
      </c>
      <c r="N11" s="52"/>
      <c r="O11" s="125"/>
      <c r="P11" s="125"/>
      <c r="Q11" s="125"/>
      <c r="R11" s="126"/>
      <c r="S11" s="126"/>
    </row>
    <row r="12" spans="1:19" ht="15" customHeight="1" outlineLevel="1" x14ac:dyDescent="0.25">
      <c r="A12" s="55" t="str">
        <f>+'data from cereal masterfile'!A4</f>
        <v>Barley</v>
      </c>
      <c r="B12" s="56">
        <f>+'data from cereal masterfile'!I4</f>
        <v>49.506328710000012</v>
      </c>
      <c r="C12" s="56">
        <f>+'data from cereal masterfile'!I16</f>
        <v>0.93780383</v>
      </c>
      <c r="D12" s="56">
        <f>+'data from cereal masterfile'!I28</f>
        <v>7.8857977740000003</v>
      </c>
      <c r="E12" s="56">
        <f t="shared" ref="E12:E19" si="1">+B12+C12-D12</f>
        <v>42.558334766000016</v>
      </c>
      <c r="F12" s="56">
        <f>+'data from cereal masterfile'!I40</f>
        <v>31.3</v>
      </c>
      <c r="G12" s="56">
        <f>IF(B12&gt;E12,F12,F12*B12/E12)</f>
        <v>31.3</v>
      </c>
      <c r="H12" s="57">
        <v>0.1</v>
      </c>
      <c r="I12" s="58">
        <f t="shared" ref="I12:I19" si="2">F12*H12</f>
        <v>3.1300000000000003</v>
      </c>
      <c r="J12" s="58">
        <f t="shared" ref="J12:J19" si="3">G12*H12</f>
        <v>3.1300000000000003</v>
      </c>
      <c r="K12" s="26"/>
      <c r="L12" s="26"/>
      <c r="M12" s="6">
        <f t="shared" ref="M12:M19" si="4">+IF(H12&lt;15%,1,IF(H12&lt;30%,2,IF(H12&lt;50%,3,4)))</f>
        <v>1</v>
      </c>
      <c r="N12" s="52"/>
      <c r="O12" s="125"/>
      <c r="P12" s="125"/>
      <c r="Q12" s="125"/>
      <c r="R12" s="126"/>
      <c r="S12" s="126"/>
    </row>
    <row r="13" spans="1:19" ht="15" customHeight="1" outlineLevel="1" x14ac:dyDescent="0.25">
      <c r="A13" s="55" t="str">
        <f>+'data from cereal masterfile'!A5</f>
        <v>Durum</v>
      </c>
      <c r="B13" s="56">
        <f>+'data from cereal masterfile'!I5</f>
        <v>8.6749168150000013</v>
      </c>
      <c r="C13" s="56">
        <f>+'data from cereal masterfile'!I17</f>
        <v>1.439624155</v>
      </c>
      <c r="D13" s="56">
        <f>+'data from cereal masterfile'!I29</f>
        <v>1.0140210139999999</v>
      </c>
      <c r="E13" s="56">
        <f t="shared" si="1"/>
        <v>9.100519956000003</v>
      </c>
      <c r="F13" s="56">
        <f>+'data from cereal masterfile'!I41</f>
        <v>0.8</v>
      </c>
      <c r="G13" s="56">
        <f>IF(B13&gt;E13,F13,F13*B13/E13)</f>
        <v>0.76258647698744741</v>
      </c>
      <c r="H13" s="57">
        <v>0.12</v>
      </c>
      <c r="I13" s="58">
        <f t="shared" si="2"/>
        <v>9.6000000000000002E-2</v>
      </c>
      <c r="J13" s="58">
        <f t="shared" si="3"/>
        <v>9.1510377238493687E-2</v>
      </c>
      <c r="K13" s="26"/>
      <c r="L13" s="26"/>
      <c r="M13" s="6">
        <f t="shared" si="4"/>
        <v>1</v>
      </c>
      <c r="N13" s="52"/>
      <c r="O13" s="125"/>
      <c r="P13" s="125"/>
      <c r="Q13" s="125"/>
      <c r="R13" s="126"/>
      <c r="S13" s="126"/>
    </row>
    <row r="14" spans="1:19" ht="15" customHeight="1" outlineLevel="1" x14ac:dyDescent="0.25">
      <c r="A14" s="55" t="str">
        <f>+'data from cereal masterfile'!A6</f>
        <v>Maize</v>
      </c>
      <c r="B14" s="56">
        <f>+'data from cereal masterfile'!I6</f>
        <v>69.017503880000021</v>
      </c>
      <c r="C14" s="56">
        <f>+'data from cereal masterfile'!I18</f>
        <v>22.582513774999999</v>
      </c>
      <c r="D14" s="56">
        <f>+'data from cereal masterfile'!I30</f>
        <v>4.215818498</v>
      </c>
      <c r="E14" s="56">
        <f t="shared" si="1"/>
        <v>87.384199157000012</v>
      </c>
      <c r="F14" s="56">
        <f>+'data from cereal masterfile'!I42</f>
        <v>65.2</v>
      </c>
      <c r="G14" s="56">
        <f>F14-C14*0.9</f>
        <v>44.875737602500003</v>
      </c>
      <c r="H14" s="57">
        <v>0.08</v>
      </c>
      <c r="I14" s="58">
        <f t="shared" si="2"/>
        <v>5.2160000000000002</v>
      </c>
      <c r="J14" s="58">
        <f t="shared" si="3"/>
        <v>3.5900590082000003</v>
      </c>
      <c r="K14" s="26"/>
      <c r="L14" s="26"/>
      <c r="M14" s="6">
        <f t="shared" si="4"/>
        <v>1</v>
      </c>
      <c r="N14" s="52"/>
      <c r="O14" s="125"/>
      <c r="P14" s="125"/>
      <c r="Q14" s="125"/>
      <c r="R14" s="126"/>
      <c r="S14" s="126"/>
    </row>
    <row r="15" spans="1:19" ht="15" customHeight="1" outlineLevel="1" x14ac:dyDescent="0.25">
      <c r="A15" s="55" t="str">
        <f>+'data from cereal masterfile'!A7</f>
        <v>Rye</v>
      </c>
      <c r="B15" s="56">
        <f>+'data from cereal masterfile'!I7</f>
        <v>6.0381328800000009</v>
      </c>
      <c r="C15" s="56">
        <f>+'data from cereal masterfile'!I19</f>
        <v>0.297444555</v>
      </c>
      <c r="D15" s="56">
        <f>+'data from cereal masterfile'!I31</f>
        <v>0.21744229900000001</v>
      </c>
      <c r="E15" s="56">
        <f t="shared" si="1"/>
        <v>6.1181351360000011</v>
      </c>
      <c r="F15" s="56">
        <f>+'data from cereal masterfile'!I43</f>
        <v>1.4</v>
      </c>
      <c r="G15" s="56">
        <f>IF(B15&gt;E15,F15,F15*B15/(B15+C15-D15))</f>
        <v>1.3816932519615401</v>
      </c>
      <c r="H15" s="57">
        <v>0.11</v>
      </c>
      <c r="I15" s="58">
        <f t="shared" si="2"/>
        <v>0.154</v>
      </c>
      <c r="J15" s="58">
        <f t="shared" si="3"/>
        <v>0.15198625771576943</v>
      </c>
      <c r="K15" s="26"/>
      <c r="L15" s="26"/>
      <c r="M15" s="6">
        <f t="shared" si="4"/>
        <v>1</v>
      </c>
      <c r="N15" s="52"/>
      <c r="O15" s="125"/>
      <c r="P15" s="125"/>
      <c r="Q15" s="125"/>
      <c r="R15" s="126"/>
      <c r="S15" s="126"/>
    </row>
    <row r="16" spans="1:19" ht="15" customHeight="1" outlineLevel="1" x14ac:dyDescent="0.25">
      <c r="A16" s="55" t="str">
        <f>+'data from cereal masterfile'!A8</f>
        <v>Sorghum</v>
      </c>
      <c r="B16" s="56">
        <f>+'data from cereal masterfile'!I8</f>
        <v>0.79145449999999995</v>
      </c>
      <c r="C16" s="56">
        <f>+'data from cereal masterfile'!I20</f>
        <v>0.75704998899999998</v>
      </c>
      <c r="D16" s="56">
        <f>+'data from cereal masterfile'!I32</f>
        <v>2.1081632000000003E-2</v>
      </c>
      <c r="E16" s="56">
        <f t="shared" si="1"/>
        <v>1.5274228569999999</v>
      </c>
      <c r="F16" s="56">
        <f>+'data from cereal masterfile'!I44</f>
        <v>0.64859817800987629</v>
      </c>
      <c r="G16" s="56">
        <f>IF(B16&gt;E16,F16,F16*B16/(B16+C16-D16))</f>
        <v>0.336079785846571</v>
      </c>
      <c r="H16" s="57">
        <v>0.11</v>
      </c>
      <c r="I16" s="58">
        <f t="shared" si="2"/>
        <v>7.1345799581086389E-2</v>
      </c>
      <c r="J16" s="58">
        <f t="shared" si="3"/>
        <v>3.6968776443122811E-2</v>
      </c>
      <c r="K16" s="26"/>
      <c r="L16" s="26"/>
      <c r="M16" s="6">
        <f t="shared" si="4"/>
        <v>1</v>
      </c>
      <c r="N16" s="52"/>
      <c r="O16" s="125"/>
      <c r="P16" s="125"/>
      <c r="Q16" s="125"/>
      <c r="R16" s="126"/>
      <c r="S16" s="126"/>
    </row>
    <row r="17" spans="1:19" ht="15" customHeight="1" outlineLevel="1" x14ac:dyDescent="0.25">
      <c r="A17" s="55" t="str">
        <f>+'data from cereal masterfile'!A9</f>
        <v>Oats</v>
      </c>
      <c r="B17" s="56">
        <f>+'data from cereal masterfile'!I9</f>
        <v>6.8111737699999999</v>
      </c>
      <c r="C17" s="56">
        <f>+'data from cereal masterfile'!I21</f>
        <v>4.8515131999999996E-2</v>
      </c>
      <c r="D17" s="56">
        <f>+'data from cereal masterfile'!I33</f>
        <v>0.118117122</v>
      </c>
      <c r="E17" s="56">
        <f t="shared" si="1"/>
        <v>6.7415717800000001</v>
      </c>
      <c r="F17" s="56">
        <f>+'data from cereal masterfile'!I45</f>
        <v>5.34</v>
      </c>
      <c r="G17" s="56">
        <f>IF(B17&gt;E17,F17,F17*B17/(B17+C17-D17))</f>
        <v>5.34</v>
      </c>
      <c r="H17" s="57">
        <v>0.11</v>
      </c>
      <c r="I17" s="58">
        <f t="shared" si="2"/>
        <v>0.58740000000000003</v>
      </c>
      <c r="J17" s="58">
        <f t="shared" si="3"/>
        <v>0.58740000000000003</v>
      </c>
      <c r="K17" s="26"/>
      <c r="L17" s="26"/>
      <c r="M17" s="6">
        <f t="shared" si="4"/>
        <v>1</v>
      </c>
      <c r="N17" s="52"/>
      <c r="O17" s="125"/>
      <c r="P17" s="125"/>
      <c r="Q17" s="125"/>
      <c r="R17" s="126"/>
      <c r="S17" s="126"/>
    </row>
    <row r="18" spans="1:19" ht="15" customHeight="1" outlineLevel="1" x14ac:dyDescent="0.25">
      <c r="A18" s="55" t="str">
        <f>+'data from cereal masterfile'!A10</f>
        <v>Triticale</v>
      </c>
      <c r="B18" s="56">
        <f>+'data from cereal masterfile'!I10</f>
        <v>9.5748254000000017</v>
      </c>
      <c r="C18" s="56">
        <f>+'data from cereal masterfile'!I22</f>
        <v>3.7743719999999998E-3</v>
      </c>
      <c r="D18" s="56">
        <f>+'data from cereal masterfile'!I34</f>
        <v>1.716013E-3</v>
      </c>
      <c r="E18" s="56">
        <f t="shared" si="1"/>
        <v>9.5768837590000029</v>
      </c>
      <c r="F18" s="56">
        <f>+'data from cereal masterfile'!I46</f>
        <v>8.7788414182493781</v>
      </c>
      <c r="G18" s="56">
        <f>IF(B18&gt;E18,F18,F18*B18/(B18+C18-D18))</f>
        <v>8.7769545824374831</v>
      </c>
      <c r="H18" s="57">
        <v>0.11</v>
      </c>
      <c r="I18" s="58">
        <f t="shared" si="2"/>
        <v>0.96567255600743163</v>
      </c>
      <c r="J18" s="58">
        <f t="shared" si="3"/>
        <v>0.96546500406812319</v>
      </c>
      <c r="K18" s="26"/>
      <c r="L18" s="26"/>
      <c r="M18" s="6">
        <f t="shared" si="4"/>
        <v>1</v>
      </c>
      <c r="N18" s="52"/>
      <c r="O18" s="125"/>
      <c r="P18" s="125"/>
      <c r="Q18" s="125"/>
      <c r="R18" s="126"/>
      <c r="S18" s="126"/>
    </row>
    <row r="19" spans="1:19" ht="15" customHeight="1" outlineLevel="1" x14ac:dyDescent="0.25">
      <c r="A19" s="55" t="str">
        <f>+'data from cereal masterfile'!A11</f>
        <v>Others</v>
      </c>
      <c r="B19" s="56">
        <f>+'data from cereal masterfile'!I11</f>
        <v>3.6697643626418088</v>
      </c>
      <c r="C19" s="56">
        <f>+'data from cereal masterfile'!I23</f>
        <v>0.11941184699999999</v>
      </c>
      <c r="D19" s="56">
        <f>+'data from cereal masterfile'!I35</f>
        <v>2.0349764999999999E-2</v>
      </c>
      <c r="E19" s="56">
        <f t="shared" si="1"/>
        <v>3.7688264446418085</v>
      </c>
      <c r="F19" s="56">
        <f>+'data from cereal masterfile'!I47</f>
        <v>4.17</v>
      </c>
      <c r="G19" s="56">
        <f>IF(B19&gt;E19,F19,F19*B19/(B19+C19-D19))</f>
        <v>4.0603932330109567</v>
      </c>
      <c r="H19" s="57">
        <v>0.11</v>
      </c>
      <c r="I19" s="58">
        <f t="shared" si="2"/>
        <v>0.4587</v>
      </c>
      <c r="J19" s="58">
        <f t="shared" si="3"/>
        <v>0.44664325563120522</v>
      </c>
      <c r="K19" s="26"/>
      <c r="L19" s="26"/>
      <c r="M19" s="6">
        <f t="shared" si="4"/>
        <v>1</v>
      </c>
      <c r="N19" s="52"/>
      <c r="O19" s="125"/>
      <c r="P19" s="125"/>
      <c r="Q19" s="125"/>
      <c r="R19" s="126"/>
      <c r="S19" s="126"/>
    </row>
    <row r="20" spans="1:19" ht="12.75" customHeight="1" outlineLevel="1" x14ac:dyDescent="0.25">
      <c r="A20" s="20"/>
      <c r="B20" s="21"/>
      <c r="C20" s="21"/>
      <c r="D20" s="21"/>
      <c r="E20" s="21"/>
      <c r="F20" s="22"/>
      <c r="G20" s="22"/>
      <c r="H20" s="23"/>
      <c r="I20" s="24"/>
      <c r="J20" s="25"/>
      <c r="K20" s="26"/>
      <c r="L20" s="26"/>
      <c r="M20" s="6"/>
      <c r="N20" s="52"/>
      <c r="O20" s="125"/>
      <c r="P20" s="125"/>
      <c r="Q20" s="125"/>
      <c r="R20" s="126"/>
      <c r="S20" s="126"/>
    </row>
    <row r="21" spans="1:19" ht="22.5" customHeight="1" outlineLevel="1" x14ac:dyDescent="0.25">
      <c r="A21" s="48" t="s">
        <v>84</v>
      </c>
      <c r="B21" s="49">
        <f t="shared" ref="B21:G21" si="5">SUM(B23:B25)</f>
        <v>30.807860000000005</v>
      </c>
      <c r="C21" s="49">
        <f t="shared" si="5"/>
        <v>19.291717195999997</v>
      </c>
      <c r="D21" s="49">
        <f t="shared" si="5"/>
        <v>1.1011281449999997</v>
      </c>
      <c r="E21" s="49">
        <f t="shared" si="5"/>
        <v>48.998449051000001</v>
      </c>
      <c r="F21" s="49">
        <f t="shared" si="5"/>
        <v>1.5794771000000001</v>
      </c>
      <c r="G21" s="49">
        <f t="shared" si="5"/>
        <v>1.5794771000000001</v>
      </c>
      <c r="H21" s="50"/>
      <c r="I21" s="50">
        <f>SUM(I23:I25)</f>
        <v>0.45938168949000002</v>
      </c>
      <c r="J21" s="50">
        <f>SUM(J23:J25)</f>
        <v>0.45938168949000002</v>
      </c>
      <c r="K21" s="51">
        <f>J21/I21</f>
        <v>1</v>
      </c>
      <c r="L21" s="51">
        <f>+I21/$I$89</f>
        <v>6.5363368867281373E-3</v>
      </c>
      <c r="M21" s="6"/>
      <c r="N21" s="52"/>
      <c r="O21" s="125"/>
      <c r="P21" s="125"/>
      <c r="Q21" s="125"/>
      <c r="R21" s="126"/>
      <c r="S21" s="126"/>
    </row>
    <row r="22" spans="1:19" ht="14.25" customHeight="1" outlineLevel="1" x14ac:dyDescent="0.25">
      <c r="A22" s="20" t="s">
        <v>85</v>
      </c>
      <c r="B22" s="21"/>
      <c r="C22" s="21"/>
      <c r="D22" s="21"/>
      <c r="E22" s="21"/>
      <c r="F22" s="22"/>
      <c r="G22" s="22"/>
      <c r="H22" s="23"/>
      <c r="I22" s="24"/>
      <c r="J22" s="25"/>
      <c r="K22" s="26"/>
      <c r="L22" s="26"/>
      <c r="M22" s="6"/>
      <c r="N22" s="52"/>
      <c r="O22" s="125"/>
      <c r="P22" s="125"/>
      <c r="Q22" s="125"/>
      <c r="R22" s="126"/>
      <c r="S22" s="126"/>
    </row>
    <row r="23" spans="1:19" ht="15" customHeight="1" outlineLevel="1" x14ac:dyDescent="0.25">
      <c r="A23" s="55" t="s">
        <v>22</v>
      </c>
      <c r="B23" s="56">
        <f>+'data from oilseed masterfile'!W4</f>
        <v>2.8326600000000002</v>
      </c>
      <c r="C23" s="56">
        <f>+'data from oilseed masterfile'!W12</f>
        <v>14.433329788999998</v>
      </c>
      <c r="D23" s="56">
        <f>+'data from oilseed masterfile'!W16</f>
        <v>0.212586107</v>
      </c>
      <c r="E23" s="56">
        <f>+B23+C23-D23</f>
        <v>17.053403681999999</v>
      </c>
      <c r="F23" s="56">
        <v>1.2</v>
      </c>
      <c r="G23" s="56">
        <f>F23</f>
        <v>1.2</v>
      </c>
      <c r="H23" s="61">
        <v>0.33</v>
      </c>
      <c r="I23" s="58">
        <f>F23*H23</f>
        <v>0.39600000000000002</v>
      </c>
      <c r="J23" s="58">
        <f>G23*H23</f>
        <v>0.39600000000000002</v>
      </c>
      <c r="K23" s="26"/>
      <c r="L23" s="26"/>
      <c r="M23" s="6">
        <f>+IF(H23&lt;15%,1,IF(H23&lt;30%,2,IF(H23&lt;50%,3,4)))</f>
        <v>3</v>
      </c>
      <c r="N23" s="52"/>
      <c r="O23" s="125"/>
      <c r="P23" s="125"/>
      <c r="Q23" s="125"/>
      <c r="R23" s="126"/>
      <c r="S23" s="126"/>
    </row>
    <row r="24" spans="1:19" ht="15" customHeight="1" outlineLevel="1" x14ac:dyDescent="0.25">
      <c r="A24" s="55" t="s">
        <v>23</v>
      </c>
      <c r="B24" s="56">
        <f>+'data from oilseed masterfile'!W5</f>
        <v>18.002690000000001</v>
      </c>
      <c r="C24" s="56">
        <f>+'data from oilseed masterfile'!W13</f>
        <v>4.3291022700000008</v>
      </c>
      <c r="D24" s="56">
        <f>+'data from oilseed masterfile'!W17</f>
        <v>0.291070828</v>
      </c>
      <c r="E24" s="56">
        <f>+B24+C24-D24</f>
        <v>22.040721442000002</v>
      </c>
      <c r="F24" s="56">
        <f>+B24*1%</f>
        <v>0.18002690000000002</v>
      </c>
      <c r="G24" s="56">
        <f>F24</f>
        <v>0.18002690000000002</v>
      </c>
      <c r="H24" s="62">
        <f>H47*0.57</f>
        <v>0.18809999999999999</v>
      </c>
      <c r="I24" s="58">
        <f>F24*H24</f>
        <v>3.3863059889999998E-2</v>
      </c>
      <c r="J24" s="58">
        <f>G24*H24</f>
        <v>3.3863059889999998E-2</v>
      </c>
      <c r="K24" s="26"/>
      <c r="L24" s="26"/>
      <c r="M24" s="6">
        <f>+IF(H24&lt;15%,1,IF(H24&lt;30%,2,IF(H24&lt;50%,3,4)))</f>
        <v>2</v>
      </c>
      <c r="N24" s="52"/>
      <c r="O24" s="125"/>
      <c r="P24" s="125"/>
      <c r="Q24" s="125"/>
      <c r="R24" s="126"/>
      <c r="S24" s="126"/>
    </row>
    <row r="25" spans="1:19" ht="15" customHeight="1" outlineLevel="1" x14ac:dyDescent="0.25">
      <c r="A25" s="55" t="s">
        <v>24</v>
      </c>
      <c r="B25" s="56">
        <f>+'data from oilseed masterfile'!W6</f>
        <v>9.9725100000000015</v>
      </c>
      <c r="C25" s="56">
        <f>+'data from oilseed masterfile'!W14</f>
        <v>0.52928513700000002</v>
      </c>
      <c r="D25" s="56">
        <f>+'data from oilseed masterfile'!W18</f>
        <v>0.59747120999999981</v>
      </c>
      <c r="E25" s="56">
        <f>+B25+C25-D25</f>
        <v>9.9043239270000019</v>
      </c>
      <c r="F25" s="56">
        <f>+B25*2%</f>
        <v>0.19945020000000002</v>
      </c>
      <c r="G25" s="56">
        <f>F25</f>
        <v>0.19945020000000002</v>
      </c>
      <c r="H25" s="57">
        <v>0.14799999999999999</v>
      </c>
      <c r="I25" s="58">
        <f>F25*H25</f>
        <v>2.9518629600000002E-2</v>
      </c>
      <c r="J25" s="58">
        <f>G25*H25</f>
        <v>2.9518629600000002E-2</v>
      </c>
      <c r="K25" s="26"/>
      <c r="L25" s="26"/>
      <c r="M25" s="6">
        <f>+IF(H25&lt;15%,1,IF(H25&lt;30%,2,IF(H25&lt;50%,3,4)))</f>
        <v>1</v>
      </c>
      <c r="N25" s="52"/>
      <c r="O25" s="125"/>
      <c r="P25" s="125"/>
      <c r="Q25" s="125"/>
      <c r="R25" s="126"/>
      <c r="S25" s="126"/>
    </row>
    <row r="26" spans="1:19" ht="12.75" customHeight="1" outlineLevel="1" x14ac:dyDescent="0.25">
      <c r="A26" s="20"/>
      <c r="B26" s="21"/>
      <c r="C26" s="21"/>
      <c r="D26" s="21"/>
      <c r="E26" s="21"/>
      <c r="F26" s="22"/>
      <c r="G26" s="22"/>
      <c r="H26" s="23"/>
      <c r="I26" s="24"/>
      <c r="J26" s="25"/>
      <c r="K26" s="26"/>
      <c r="L26" s="26"/>
      <c r="M26" s="6"/>
      <c r="N26" s="52"/>
      <c r="O26" s="125"/>
      <c r="P26" s="125"/>
      <c r="Q26" s="125"/>
      <c r="R26" s="126"/>
      <c r="S26" s="126"/>
    </row>
    <row r="27" spans="1:19" ht="20.25" customHeight="1" outlineLevel="1" x14ac:dyDescent="0.25">
      <c r="A27" s="48" t="s">
        <v>86</v>
      </c>
      <c r="B27" s="49">
        <f t="shared" ref="B27:G27" si="6">SUM(B29:B32)</f>
        <v>3.75596</v>
      </c>
      <c r="C27" s="49">
        <f t="shared" si="6"/>
        <v>1.3314569270000001</v>
      </c>
      <c r="D27" s="49">
        <f t="shared" si="6"/>
        <v>0.58092000899999996</v>
      </c>
      <c r="E27" s="49">
        <f t="shared" si="6"/>
        <v>4.5064969179999999</v>
      </c>
      <c r="F27" s="49">
        <f t="shared" si="6"/>
        <v>3.4814593566841756</v>
      </c>
      <c r="G27" s="49">
        <f t="shared" si="6"/>
        <v>2.7408726222185296</v>
      </c>
      <c r="H27" s="50"/>
      <c r="I27" s="50">
        <f>SUM(I29:I32)</f>
        <v>0.87112861023774402</v>
      </c>
      <c r="J27" s="50">
        <f>SUM(J29:J32)</f>
        <v>0.67287965780307935</v>
      </c>
      <c r="K27" s="51">
        <f>J27/I27</f>
        <v>0.77242286603288168</v>
      </c>
      <c r="L27" s="51">
        <f>+I27/$I$89</f>
        <v>1.2394899924075302E-2</v>
      </c>
      <c r="M27" s="6"/>
      <c r="N27" s="52"/>
      <c r="O27" s="125"/>
      <c r="P27" s="125"/>
      <c r="Q27" s="125"/>
      <c r="R27" s="126"/>
      <c r="S27" s="126"/>
    </row>
    <row r="28" spans="1:19" ht="9" customHeight="1" outlineLevel="1" x14ac:dyDescent="0.25">
      <c r="A28" s="20"/>
      <c r="B28" s="21"/>
      <c r="C28" s="21"/>
      <c r="D28" s="21"/>
      <c r="E28" s="21"/>
      <c r="F28" s="22"/>
      <c r="G28" s="22"/>
      <c r="H28" s="23"/>
      <c r="I28" s="24"/>
      <c r="J28" s="25"/>
      <c r="K28" s="26"/>
      <c r="L28" s="26"/>
      <c r="M28" s="6"/>
      <c r="N28" s="52"/>
      <c r="O28" s="125"/>
      <c r="P28" s="125"/>
      <c r="Q28" s="125"/>
      <c r="R28" s="126"/>
      <c r="S28" s="126"/>
    </row>
    <row r="29" spans="1:19" ht="15" customHeight="1" outlineLevel="1" x14ac:dyDescent="0.25">
      <c r="A29" s="55" t="s">
        <v>87</v>
      </c>
      <c r="B29" s="56">
        <f>'data from protein balance sheet'!I4</f>
        <v>1.8950199999999999</v>
      </c>
      <c r="C29" s="56">
        <f>'data from protein balance sheet'!I20</f>
        <v>0.66574429899999998</v>
      </c>
      <c r="D29" s="56">
        <f>'data from protein balance sheet'!I28</f>
        <v>0.22171163299999999</v>
      </c>
      <c r="E29" s="56">
        <f>'data from protein balance sheet'!I12</f>
        <v>2.3390526660000002</v>
      </c>
      <c r="F29" s="56">
        <f>'data from protein balance sheet'!I36</f>
        <v>1.8688332691</v>
      </c>
      <c r="G29" s="56">
        <f>IF(B29&gt;E29,F29,F29*B29/E29)</f>
        <v>1.514064421501949</v>
      </c>
      <c r="H29" s="63">
        <v>0.22500000000000001</v>
      </c>
      <c r="I29" s="58">
        <f>F29*H29</f>
        <v>0.42048748554750004</v>
      </c>
      <c r="J29" s="58">
        <f>G29*H29</f>
        <v>0.34066449483793854</v>
      </c>
      <c r="K29" s="26"/>
      <c r="L29" s="26"/>
      <c r="M29" s="6">
        <f>+IF(H29&lt;15%,1,IF(H29&lt;30%,2,IF(H29&lt;50%,3,4)))</f>
        <v>2</v>
      </c>
      <c r="N29" s="52"/>
      <c r="O29" s="125"/>
      <c r="P29" s="125"/>
      <c r="Q29" s="125"/>
      <c r="R29" s="126"/>
      <c r="S29" s="126"/>
    </row>
    <row r="30" spans="1:19" ht="15" customHeight="1" outlineLevel="1" x14ac:dyDescent="0.25">
      <c r="A30" s="55" t="s">
        <v>27</v>
      </c>
      <c r="B30" s="56">
        <f>'data from protein balance sheet'!I5</f>
        <v>0.99661</v>
      </c>
      <c r="C30" s="56">
        <f>'data from protein balance sheet'!I21</f>
        <v>7.8071396999999987E-2</v>
      </c>
      <c r="D30" s="56">
        <f>'data from protein balance sheet'!I29</f>
        <v>0.33144777799999997</v>
      </c>
      <c r="E30" s="56">
        <f>'data from protein balance sheet'!I13</f>
        <v>0.74323361900000007</v>
      </c>
      <c r="F30" s="56">
        <f>'data from protein balance sheet'!I37</f>
        <v>0.70928972202000007</v>
      </c>
      <c r="G30" s="56">
        <f>IF(B30&gt;E30,F30,F30*B30/E30)</f>
        <v>0.70928972202000007</v>
      </c>
      <c r="H30" s="63">
        <v>0.26</v>
      </c>
      <c r="I30" s="58">
        <f>F30*H30</f>
        <v>0.18441532772520003</v>
      </c>
      <c r="J30" s="58">
        <f>G30*H30</f>
        <v>0.18441532772520003</v>
      </c>
      <c r="K30" s="26"/>
      <c r="L30" s="26"/>
      <c r="M30" s="6">
        <f>+IF(H30&lt;15%,1,IF(H30&lt;30%,2,IF(H30&lt;50%,3,4)))</f>
        <v>2</v>
      </c>
      <c r="N30" s="52"/>
      <c r="O30" s="125"/>
      <c r="P30" s="125"/>
      <c r="Q30" s="125"/>
      <c r="R30" s="126"/>
      <c r="S30" s="126"/>
    </row>
    <row r="31" spans="1:19" ht="15" customHeight="1" outlineLevel="1" x14ac:dyDescent="0.25">
      <c r="A31" s="55" t="s">
        <v>28</v>
      </c>
      <c r="B31" s="56">
        <f>'data from protein balance sheet'!I7</f>
        <v>0.18598000000000001</v>
      </c>
      <c r="C31" s="56">
        <f>'data from protein balance sheet'!I23</f>
        <v>0.22201702600000001</v>
      </c>
      <c r="D31" s="56">
        <f>'data from protein balance sheet'!I31</f>
        <v>1.8152700000000001E-4</v>
      </c>
      <c r="E31" s="56">
        <f>'data from protein balance sheet'!I15</f>
        <v>0.40781549899999997</v>
      </c>
      <c r="F31" s="56">
        <f>'data from protein balance sheet'!I39</f>
        <v>0.40391705574000003</v>
      </c>
      <c r="G31" s="56">
        <f>IF(B31&gt;E31,F31,F31*B31/E31)</f>
        <v>0.18420215565795653</v>
      </c>
      <c r="H31" s="61">
        <v>0.35</v>
      </c>
      <c r="I31" s="58">
        <f>F31*H31</f>
        <v>0.14137096950899999</v>
      </c>
      <c r="J31" s="58">
        <f>G31*H31</f>
        <v>6.4470754480284775E-2</v>
      </c>
      <c r="K31" s="26"/>
      <c r="L31" s="26"/>
      <c r="M31" s="6">
        <f>+IF(H31&lt;15%,1,IF(H31&lt;30%,2,IF(H31&lt;50%,3,4)))</f>
        <v>3</v>
      </c>
      <c r="N31" s="52"/>
      <c r="O31" s="125"/>
      <c r="P31" s="125"/>
      <c r="Q31" s="125"/>
      <c r="R31" s="126"/>
      <c r="S31" s="126"/>
    </row>
    <row r="32" spans="1:19" ht="15" customHeight="1" outlineLevel="1" x14ac:dyDescent="0.25">
      <c r="A32" s="55" t="s">
        <v>29</v>
      </c>
      <c r="B32" s="56">
        <f>'data from protein balance sheet'!I9</f>
        <v>0.67835000000000012</v>
      </c>
      <c r="C32" s="56">
        <f>'data from protein balance sheet'!I25</f>
        <v>0.36562420499999998</v>
      </c>
      <c r="D32" s="56">
        <f>'data from protein balance sheet'!I33</f>
        <v>2.7579070999999997E-2</v>
      </c>
      <c r="E32" s="56">
        <f>'data from protein balance sheet'!I17</f>
        <v>1.0163951339999999</v>
      </c>
      <c r="F32" s="56">
        <f>'data from protein balance sheet'!I41</f>
        <v>0.49941930982417548</v>
      </c>
      <c r="G32" s="56">
        <f>IF(B32&gt;E32,F32,F32*B32/E32)</f>
        <v>0.33331632303862402</v>
      </c>
      <c r="H32" s="63">
        <v>0.25</v>
      </c>
      <c r="I32" s="58">
        <f>F32*H32</f>
        <v>0.12485482745604387</v>
      </c>
      <c r="J32" s="58">
        <f>G32*H32</f>
        <v>8.3329080759656005E-2</v>
      </c>
      <c r="K32" s="26"/>
      <c r="L32" s="26"/>
      <c r="M32" s="6">
        <f>+IF(H32&lt;15%,1,IF(H32&lt;30%,2,IF(H32&lt;50%,3,4)))</f>
        <v>2</v>
      </c>
      <c r="N32" s="52"/>
      <c r="O32" s="125"/>
      <c r="P32" s="125"/>
      <c r="Q32" s="125"/>
      <c r="R32" s="126"/>
      <c r="S32" s="126"/>
    </row>
    <row r="33" spans="1:19" ht="12.75" customHeight="1" x14ac:dyDescent="0.25">
      <c r="A33" s="20"/>
      <c r="B33" s="21"/>
      <c r="C33" s="21"/>
      <c r="D33" s="21"/>
      <c r="E33" s="21"/>
      <c r="F33" s="22"/>
      <c r="G33" s="22"/>
      <c r="H33" s="23"/>
      <c r="I33" s="24"/>
      <c r="J33" s="25"/>
      <c r="K33" s="26"/>
      <c r="L33" s="26"/>
      <c r="M33" s="6"/>
      <c r="N33" s="52"/>
      <c r="O33" s="125"/>
      <c r="P33" s="125"/>
      <c r="Q33" s="125"/>
      <c r="R33" s="126"/>
      <c r="S33" s="126"/>
    </row>
    <row r="34" spans="1:19" ht="36" customHeight="1" x14ac:dyDescent="0.25">
      <c r="A34" s="27" t="s">
        <v>30</v>
      </c>
      <c r="B34" s="28"/>
      <c r="C34" s="28"/>
      <c r="D34" s="28"/>
      <c r="E34" s="28"/>
      <c r="F34" s="29">
        <f>+F36+F63</f>
        <v>81.339353914210633</v>
      </c>
      <c r="G34" s="29">
        <f>+G36+G63</f>
        <v>44.270839012115587</v>
      </c>
      <c r="H34" s="30"/>
      <c r="I34" s="30">
        <f>+I36+I63</f>
        <v>24.241925965243862</v>
      </c>
      <c r="J34" s="30">
        <f>+J36+J63</f>
        <v>9.4146926459695486</v>
      </c>
      <c r="K34" s="31">
        <f>IF(I34=0,0,J34/I34)</f>
        <v>0.38836405405525876</v>
      </c>
      <c r="L34" s="31">
        <f>+I34/$I$89</f>
        <v>0.34492753742072108</v>
      </c>
      <c r="M34" s="6"/>
      <c r="N34" s="52"/>
      <c r="O34" s="125"/>
      <c r="P34" s="125"/>
      <c r="Q34" s="125"/>
      <c r="R34" s="126"/>
      <c r="S34" s="126"/>
    </row>
    <row r="35" spans="1:19" ht="12.75" customHeight="1" x14ac:dyDescent="0.25">
      <c r="A35" s="20"/>
      <c r="B35" s="21"/>
      <c r="C35" s="21"/>
      <c r="D35" s="21"/>
      <c r="E35" s="21"/>
      <c r="F35" s="22"/>
      <c r="G35" s="22"/>
      <c r="H35" s="23"/>
      <c r="I35" s="24"/>
      <c r="J35" s="25"/>
      <c r="K35" s="26"/>
      <c r="L35" s="26"/>
      <c r="M35" s="6"/>
      <c r="N35" s="52"/>
      <c r="O35" s="125"/>
      <c r="P35" s="125"/>
      <c r="Q35" s="125"/>
      <c r="R35" s="126"/>
      <c r="S35" s="126"/>
    </row>
    <row r="36" spans="1:19" ht="18.75" customHeight="1" x14ac:dyDescent="0.25">
      <c r="A36" s="48" t="s">
        <v>31</v>
      </c>
      <c r="B36" s="49">
        <f t="shared" ref="B36:E36" si="7">+B38+B45+B51+B57</f>
        <v>28.804054967448554</v>
      </c>
      <c r="C36" s="49">
        <f t="shared" si="7"/>
        <v>22.492891240000002</v>
      </c>
      <c r="D36" s="49">
        <f t="shared" si="7"/>
        <v>1.8580680790000004</v>
      </c>
      <c r="E36" s="49">
        <f t="shared" si="7"/>
        <v>49.438878128448557</v>
      </c>
      <c r="F36" s="49">
        <f>+F38+F45+F51+F57</f>
        <v>49.234494091730092</v>
      </c>
      <c r="G36" s="49">
        <f>+G38+G45+G51+G57</f>
        <v>14.503630025635056</v>
      </c>
      <c r="H36" s="50"/>
      <c r="I36" s="50">
        <f>+I38+I45+I51+I57</f>
        <v>19.520956052570533</v>
      </c>
      <c r="J36" s="50">
        <f>+J38+J45+J51+J57</f>
        <v>5.036991998839218</v>
      </c>
      <c r="K36" s="51">
        <f>IF(I36=0,0,J36/I36)</f>
        <v>0.25802998507216779</v>
      </c>
      <c r="L36" s="51">
        <f>+I36/$I$89</f>
        <v>0.27775496505372405</v>
      </c>
      <c r="M36" s="6"/>
      <c r="N36" s="52"/>
      <c r="O36" s="125"/>
      <c r="P36" s="125"/>
      <c r="Q36" s="125"/>
      <c r="R36" s="126"/>
      <c r="S36" s="126"/>
    </row>
    <row r="37" spans="1:19" ht="6.75" customHeight="1" x14ac:dyDescent="0.25">
      <c r="A37" s="20"/>
      <c r="B37" s="21"/>
      <c r="C37" s="21"/>
      <c r="D37" s="21"/>
      <c r="E37" s="21"/>
      <c r="F37" s="22"/>
      <c r="G37" s="22"/>
      <c r="H37" s="23"/>
      <c r="I37" s="24"/>
      <c r="J37" s="25"/>
      <c r="K37" s="26"/>
      <c r="L37" s="26"/>
      <c r="M37" s="6"/>
      <c r="N37" s="52"/>
      <c r="O37" s="125"/>
      <c r="P37" s="125"/>
      <c r="Q37" s="125"/>
      <c r="R37" s="126"/>
      <c r="S37" s="126"/>
    </row>
    <row r="38" spans="1:19" ht="15" customHeight="1" outlineLevel="1" x14ac:dyDescent="0.25">
      <c r="A38" s="48" t="s">
        <v>88</v>
      </c>
      <c r="B38" s="49">
        <f t="shared" ref="B38:E38" si="8">B40+B41+B42+B43</f>
        <v>11.209611144923327</v>
      </c>
      <c r="C38" s="49">
        <f t="shared" si="8"/>
        <v>16.531424234000003</v>
      </c>
      <c r="D38" s="49">
        <f t="shared" si="8"/>
        <v>0.69040930900000008</v>
      </c>
      <c r="E38" s="49">
        <f t="shared" si="8"/>
        <v>27.050626069923329</v>
      </c>
      <c r="F38" s="49">
        <f>F40+F41+F42+F43</f>
        <v>26.846242033204863</v>
      </c>
      <c r="G38" s="49">
        <f>G40+G41+G42+G43</f>
        <v>1.0994212079606003</v>
      </c>
      <c r="H38" s="50"/>
      <c r="I38" s="50">
        <f>SUM(I40:I43)</f>
        <v>12.238554594909198</v>
      </c>
      <c r="J38" s="50">
        <f>SUM(J40:J43)</f>
        <v>0.47275111942305809</v>
      </c>
      <c r="K38" s="51">
        <f>IF(I38=0,0,J38/I38)</f>
        <v>3.8628018999866676E-2</v>
      </c>
      <c r="L38" s="51">
        <f>+I38/$I$89</f>
        <v>0.17413692724181271</v>
      </c>
      <c r="M38" s="6"/>
      <c r="N38" s="52"/>
      <c r="O38" s="125"/>
      <c r="P38" s="125"/>
      <c r="Q38" s="125"/>
      <c r="R38" s="126"/>
      <c r="S38" s="126"/>
    </row>
    <row r="39" spans="1:19" ht="15" customHeight="1" outlineLevel="1" x14ac:dyDescent="0.25">
      <c r="A39" s="20"/>
      <c r="B39" s="21"/>
      <c r="C39" s="21"/>
      <c r="D39" s="21"/>
      <c r="E39" s="21"/>
      <c r="F39" s="22"/>
      <c r="G39" s="22"/>
      <c r="H39" s="23"/>
      <c r="I39" s="24"/>
      <c r="J39" s="25"/>
      <c r="K39" s="26"/>
      <c r="L39" s="26"/>
      <c r="M39" s="6"/>
      <c r="N39" s="52"/>
      <c r="O39" s="125"/>
      <c r="P39" s="125"/>
      <c r="Q39" s="125"/>
      <c r="R39" s="126"/>
      <c r="S39" s="126"/>
    </row>
    <row r="40" spans="1:19" ht="15" customHeight="1" outlineLevel="1" x14ac:dyDescent="0.25">
      <c r="A40" s="55" t="s">
        <v>33</v>
      </c>
      <c r="B40" s="56">
        <f>(MIN((B23-D23)*'data from oilseed masterfile'!W40,B23-D23-G23)*0.79)</f>
        <v>1.1218583754700002</v>
      </c>
      <c r="C40" s="56"/>
      <c r="D40" s="56"/>
      <c r="E40" s="56">
        <f>B40-D40</f>
        <v>1.1218583754700002</v>
      </c>
      <c r="F40" s="56">
        <f>(B40-D40)*0.98</f>
        <v>1.0994212079606003</v>
      </c>
      <c r="G40" s="56">
        <f>F40</f>
        <v>1.0994212079606003</v>
      </c>
      <c r="H40" s="61">
        <v>0.43</v>
      </c>
      <c r="I40" s="58">
        <f>F40*H40</f>
        <v>0.47275111942305809</v>
      </c>
      <c r="J40" s="58">
        <f>G40*H40</f>
        <v>0.47275111942305809</v>
      </c>
      <c r="K40" s="26"/>
      <c r="L40" s="26"/>
      <c r="M40" s="6">
        <f>+IF(H40&lt;15%,1,IF(H40&lt;30%,2,IF(H40&lt;50%,3,4)))</f>
        <v>3</v>
      </c>
      <c r="N40" s="52"/>
      <c r="O40" s="125"/>
      <c r="P40" s="125"/>
      <c r="Q40" s="125"/>
      <c r="R40" s="126"/>
      <c r="S40" s="128"/>
    </row>
    <row r="41" spans="1:19" ht="15" customHeight="1" outlineLevel="1" x14ac:dyDescent="0.25">
      <c r="A41" s="55" t="s">
        <v>34</v>
      </c>
      <c r="B41" s="56">
        <f>(MIN(C23*'data from oilseed masterfile'!W40,C23-(F23-G23))*0.79-B43)</f>
        <v>9.7877527694533271</v>
      </c>
      <c r="C41" s="56"/>
      <c r="D41" s="56">
        <f>+'data from oilseed masterfile'!W35</f>
        <v>0.69040930900000008</v>
      </c>
      <c r="E41" s="56">
        <f>B41-D41</f>
        <v>9.0973434604533274</v>
      </c>
      <c r="F41" s="56">
        <f>(B41-D41)*0.98</f>
        <v>8.9153965912442601</v>
      </c>
      <c r="G41" s="56">
        <v>0</v>
      </c>
      <c r="H41" s="61">
        <v>0.45500000000000002</v>
      </c>
      <c r="I41" s="58">
        <f>F41*H41</f>
        <v>4.0565054490161385</v>
      </c>
      <c r="J41" s="58">
        <f>G41*H41</f>
        <v>0</v>
      </c>
      <c r="K41" s="26"/>
      <c r="L41" s="26"/>
      <c r="M41" s="6">
        <f>+IF(H41&lt;15%,1,IF(H41&lt;30%,2,IF(H41&lt;50%,3,4)))</f>
        <v>3</v>
      </c>
      <c r="N41" s="52"/>
      <c r="O41" s="125"/>
      <c r="P41" s="125"/>
      <c r="Q41" s="125"/>
      <c r="R41" s="126"/>
      <c r="S41" s="128"/>
    </row>
    <row r="42" spans="1:19" ht="15" customHeight="1" outlineLevel="1" x14ac:dyDescent="0.25">
      <c r="A42" s="55" t="s">
        <v>35</v>
      </c>
      <c r="B42" s="56"/>
      <c r="C42" s="56">
        <f>+'data from oilseed masterfile'!W31</f>
        <v>16.531424234000003</v>
      </c>
      <c r="D42" s="56"/>
      <c r="E42" s="56">
        <f>C42</f>
        <v>16.531424234000003</v>
      </c>
      <c r="F42" s="56">
        <f>(C42-D42)</f>
        <v>16.531424234000003</v>
      </c>
      <c r="G42" s="56">
        <v>0</v>
      </c>
      <c r="H42" s="61">
        <v>0.45500000000000002</v>
      </c>
      <c r="I42" s="58">
        <f>F42*H42</f>
        <v>7.5217980264700017</v>
      </c>
      <c r="J42" s="58">
        <f>G42*H42</f>
        <v>0</v>
      </c>
      <c r="K42" s="26"/>
      <c r="L42" s="26"/>
      <c r="M42" s="6">
        <f>+IF(H42&lt;15%,1,IF(H42&lt;30%,2,IF(H42&lt;50%,3,4)))</f>
        <v>3</v>
      </c>
      <c r="N42" s="52"/>
      <c r="O42" s="125"/>
      <c r="P42" s="125"/>
      <c r="Q42" s="125"/>
      <c r="R42" s="126"/>
      <c r="S42" s="128"/>
    </row>
    <row r="43" spans="1:19" ht="15" customHeight="1" outlineLevel="1" x14ac:dyDescent="0.25">
      <c r="A43" s="55" t="s">
        <v>89</v>
      </c>
      <c r="B43" s="56">
        <f>F43</f>
        <v>0.3</v>
      </c>
      <c r="C43" s="56"/>
      <c r="D43" s="56"/>
      <c r="E43" s="56">
        <f>B43+C43-D43</f>
        <v>0.3</v>
      </c>
      <c r="F43" s="56">
        <v>0.3</v>
      </c>
      <c r="G43" s="56">
        <v>0</v>
      </c>
      <c r="H43" s="65">
        <v>0.625</v>
      </c>
      <c r="I43" s="58">
        <f>F43*H43</f>
        <v>0.1875</v>
      </c>
      <c r="J43" s="58">
        <f>G43*H43</f>
        <v>0</v>
      </c>
      <c r="K43" s="26">
        <f>IF(I43=0,0,J43/I43)</f>
        <v>0</v>
      </c>
      <c r="L43" s="26">
        <f>IF(J43=0,0,K43/J43)</f>
        <v>0</v>
      </c>
      <c r="M43" s="6">
        <f>+IF(H43&lt;15%,1,IF(H43&lt;30%,2,IF(H43&lt;50%,3,4)))</f>
        <v>4</v>
      </c>
      <c r="N43" s="52"/>
      <c r="O43" s="125"/>
      <c r="P43" s="125"/>
      <c r="Q43" s="125"/>
      <c r="R43" s="126"/>
      <c r="S43" s="128"/>
    </row>
    <row r="44" spans="1:19" ht="12.75" customHeight="1" outlineLevel="1" x14ac:dyDescent="0.25">
      <c r="A44" s="20"/>
      <c r="B44" s="21"/>
      <c r="C44" s="21"/>
      <c r="D44" s="21"/>
      <c r="E44" s="21"/>
      <c r="F44" s="22"/>
      <c r="G44" s="22"/>
      <c r="H44" s="23"/>
      <c r="I44" s="24"/>
      <c r="J44" s="25"/>
      <c r="K44" s="26"/>
      <c r="L44" s="26"/>
      <c r="M44" s="6"/>
      <c r="N44" s="52"/>
      <c r="O44" s="125"/>
      <c r="P44" s="125"/>
      <c r="Q44" s="125"/>
      <c r="R44" s="126"/>
      <c r="S44" s="126"/>
    </row>
    <row r="45" spans="1:19" ht="15" customHeight="1" outlineLevel="1" x14ac:dyDescent="0.25">
      <c r="A45" s="48" t="s">
        <v>90</v>
      </c>
      <c r="B45" s="49">
        <f t="shared" ref="B45:E45" si="9">B47+B48+B49</f>
        <v>12.11258210792483</v>
      </c>
      <c r="C45" s="49">
        <f t="shared" si="9"/>
        <v>0.57121927599999989</v>
      </c>
      <c r="D45" s="49">
        <f t="shared" si="9"/>
        <v>0.50541910600000006</v>
      </c>
      <c r="E45" s="49">
        <f t="shared" si="9"/>
        <v>12.178382277924833</v>
      </c>
      <c r="F45" s="49">
        <f>F47+F48+F49</f>
        <v>12.178382277924833</v>
      </c>
      <c r="G45" s="49">
        <f>G47+G48+G49</f>
        <v>9.2280844932215054</v>
      </c>
      <c r="H45" s="50"/>
      <c r="I45" s="50">
        <f>SUM(I47:I49)</f>
        <v>4.0188661517151942</v>
      </c>
      <c r="J45" s="50">
        <f>SUM(J47:J49)</f>
        <v>3.0452678827630968</v>
      </c>
      <c r="K45" s="51">
        <f>IF(I45=0,0,J45/I45)</f>
        <v>0.75774304686992877</v>
      </c>
      <c r="L45" s="51">
        <f>+I45/$I$89</f>
        <v>5.7182651531980593E-2</v>
      </c>
      <c r="M45" s="6"/>
      <c r="N45" s="52"/>
      <c r="O45" s="125"/>
      <c r="P45" s="125"/>
      <c r="Q45" s="125"/>
      <c r="R45" s="126"/>
      <c r="S45" s="126"/>
    </row>
    <row r="46" spans="1:19" ht="15" customHeight="1" outlineLevel="1" x14ac:dyDescent="0.25">
      <c r="A46" s="20"/>
      <c r="B46" s="21"/>
      <c r="C46" s="21"/>
      <c r="D46" s="21"/>
      <c r="E46" s="21"/>
      <c r="F46" s="22"/>
      <c r="G46" s="22"/>
      <c r="H46" s="23"/>
      <c r="I46" s="24"/>
      <c r="J46" s="25"/>
      <c r="K46" s="26"/>
      <c r="L46" s="26"/>
      <c r="M46" s="6"/>
      <c r="N46" s="52"/>
      <c r="O46" s="125"/>
      <c r="P46" s="125"/>
      <c r="Q46" s="125"/>
      <c r="R46" s="126"/>
      <c r="S46" s="126"/>
    </row>
    <row r="47" spans="1:19" ht="15" customHeight="1" outlineLevel="1" x14ac:dyDescent="0.25">
      <c r="A47" s="55" t="s">
        <v>38</v>
      </c>
      <c r="B47" s="56">
        <f>(MIN((B24-D24)*'data from oilseed masterfile'!W41,B24-D24-G24)*0.57)</f>
        <v>9.7335035992215051</v>
      </c>
      <c r="C47" s="56"/>
      <c r="D47" s="56">
        <f>+'data from oilseed masterfile'!W36</f>
        <v>0.50541910600000006</v>
      </c>
      <c r="E47" s="56">
        <f>B47-D47</f>
        <v>9.2280844932215054</v>
      </c>
      <c r="F47" s="56">
        <f>(B47-D47)</f>
        <v>9.2280844932215054</v>
      </c>
      <c r="G47" s="56">
        <f>F47</f>
        <v>9.2280844932215054</v>
      </c>
      <c r="H47" s="61">
        <v>0.33</v>
      </c>
      <c r="I47" s="58">
        <f>F47*H47</f>
        <v>3.0452678827630968</v>
      </c>
      <c r="J47" s="58">
        <f>G47*H47</f>
        <v>3.0452678827630968</v>
      </c>
      <c r="K47" s="26"/>
      <c r="L47" s="26"/>
      <c r="M47" s="6">
        <f>+IF(H47&lt;15%,1,IF(H47&lt;30%,2,IF(H47&lt;50%,3,4)))</f>
        <v>3</v>
      </c>
      <c r="N47" s="52"/>
      <c r="O47" s="125"/>
      <c r="P47" s="125"/>
      <c r="Q47" s="125"/>
      <c r="R47" s="126"/>
      <c r="S47" s="128"/>
    </row>
    <row r="48" spans="1:19" ht="15" customHeight="1" outlineLevel="1" x14ac:dyDescent="0.25">
      <c r="A48" s="55" t="s">
        <v>39</v>
      </c>
      <c r="B48" s="56">
        <f>C24*'data from oilseed masterfile'!W41*0.57</f>
        <v>2.3790785087033255</v>
      </c>
      <c r="C48" s="56"/>
      <c r="D48" s="56"/>
      <c r="E48" s="56">
        <f>B48-D48</f>
        <v>2.3790785087033255</v>
      </c>
      <c r="F48" s="56">
        <f>(B48-D48)</f>
        <v>2.3790785087033255</v>
      </c>
      <c r="G48" s="56">
        <v>0</v>
      </c>
      <c r="H48" s="61">
        <v>0.33</v>
      </c>
      <c r="I48" s="58">
        <f>F48*H48</f>
        <v>0.78509590787209749</v>
      </c>
      <c r="J48" s="58">
        <f>G48*H48</f>
        <v>0</v>
      </c>
      <c r="K48" s="26"/>
      <c r="L48" s="26"/>
      <c r="M48" s="6">
        <f>+IF(H48&lt;15%,1,IF(H48&lt;30%,2,IF(H48&lt;50%,3,4)))</f>
        <v>3</v>
      </c>
      <c r="N48" s="52"/>
      <c r="O48" s="125"/>
      <c r="P48" s="125"/>
      <c r="Q48" s="125"/>
      <c r="R48" s="126"/>
      <c r="S48" s="128"/>
    </row>
    <row r="49" spans="1:26" ht="15" customHeight="1" outlineLevel="1" x14ac:dyDescent="0.25">
      <c r="A49" s="55" t="s">
        <v>40</v>
      </c>
      <c r="B49" s="56"/>
      <c r="C49" s="56">
        <f>+'data from oilseed masterfile'!W32</f>
        <v>0.57121927599999989</v>
      </c>
      <c r="D49" s="56"/>
      <c r="E49" s="56">
        <f>C49</f>
        <v>0.57121927599999989</v>
      </c>
      <c r="F49" s="56">
        <f>IF((C49-D49)&lt;0,0,C49-D49)</f>
        <v>0.57121927599999989</v>
      </c>
      <c r="G49" s="56">
        <v>0</v>
      </c>
      <c r="H49" s="61">
        <v>0.33</v>
      </c>
      <c r="I49" s="58">
        <f>F49*H49</f>
        <v>0.18850236107999996</v>
      </c>
      <c r="J49" s="58">
        <f>G49*H49</f>
        <v>0</v>
      </c>
      <c r="K49" s="26"/>
      <c r="L49" s="26"/>
      <c r="M49" s="6">
        <f>+IF(H49&lt;15%,1,IF(H49&lt;30%,2,IF(H49&lt;50%,3,4)))</f>
        <v>3</v>
      </c>
      <c r="N49" s="52"/>
      <c r="O49" s="125"/>
      <c r="P49" s="125"/>
      <c r="Q49" s="125"/>
      <c r="R49" s="127"/>
      <c r="S49" s="128"/>
      <c r="T49" s="52"/>
      <c r="U49" s="52"/>
      <c r="V49" s="52"/>
      <c r="W49" s="52"/>
      <c r="X49" s="52"/>
      <c r="Y49" s="52"/>
      <c r="Z49" s="52"/>
    </row>
    <row r="50" spans="1:26" ht="12.75" customHeight="1" outlineLevel="1" x14ac:dyDescent="0.25">
      <c r="A50" s="20"/>
      <c r="B50" s="21"/>
      <c r="C50" s="21"/>
      <c r="D50" s="21"/>
      <c r="E50" s="21"/>
      <c r="F50" s="22"/>
      <c r="G50" s="22"/>
      <c r="H50" s="23"/>
      <c r="I50" s="24"/>
      <c r="J50" s="25"/>
      <c r="K50" s="26"/>
      <c r="L50" s="26"/>
      <c r="M50" s="6"/>
      <c r="N50" s="52"/>
      <c r="O50" s="125"/>
      <c r="P50" s="125"/>
      <c r="Q50" s="125"/>
      <c r="R50" s="127"/>
      <c r="S50" s="127"/>
      <c r="T50" s="52"/>
      <c r="U50" s="52"/>
      <c r="V50" s="52"/>
      <c r="W50" s="52"/>
      <c r="X50" s="52"/>
      <c r="Y50" s="52"/>
      <c r="Z50" s="52"/>
    </row>
    <row r="51" spans="1:26" ht="15" customHeight="1" outlineLevel="1" x14ac:dyDescent="0.25">
      <c r="A51" s="48" t="s">
        <v>91</v>
      </c>
      <c r="B51" s="49">
        <f t="shared" ref="B51:E51" si="10">B53+B54+B55</f>
        <v>4.8448617146003938</v>
      </c>
      <c r="C51" s="49">
        <f t="shared" si="10"/>
        <v>3.2434701819999998</v>
      </c>
      <c r="D51" s="49">
        <f t="shared" si="10"/>
        <v>0.51410332300000006</v>
      </c>
      <c r="E51" s="49">
        <f t="shared" si="10"/>
        <v>7.5742285736003936</v>
      </c>
      <c r="F51" s="49">
        <f>F53+F54+F55</f>
        <v>7.5742285736003936</v>
      </c>
      <c r="G51" s="49">
        <f>G53+G54+G55</f>
        <v>4.071849927452952</v>
      </c>
      <c r="H51" s="50"/>
      <c r="I51" s="50">
        <f>SUM(I53:I55)</f>
        <v>2.7267222864961411</v>
      </c>
      <c r="J51" s="50">
        <f>SUM(J53:J55)</f>
        <v>1.4658659738830626</v>
      </c>
      <c r="K51" s="51">
        <f>IF(I51=0,0,J51/I51)</f>
        <v>0.53759269183467584</v>
      </c>
      <c r="L51" s="51">
        <f>+I51/$I$89</f>
        <v>3.8797313582252364E-2</v>
      </c>
      <c r="M51" s="6"/>
      <c r="N51" s="52"/>
      <c r="O51" s="125"/>
      <c r="P51" s="125"/>
      <c r="Q51" s="125"/>
      <c r="R51" s="127"/>
      <c r="S51" s="127"/>
      <c r="T51" s="52"/>
      <c r="U51" s="52"/>
      <c r="V51" s="52"/>
      <c r="W51" s="52"/>
      <c r="X51" s="52"/>
      <c r="Y51" s="52"/>
      <c r="Z51" s="52"/>
    </row>
    <row r="52" spans="1:26" ht="15" customHeight="1" outlineLevel="1" x14ac:dyDescent="0.25">
      <c r="A52" s="20"/>
      <c r="B52" s="21"/>
      <c r="C52" s="21"/>
      <c r="D52" s="21"/>
      <c r="E52" s="21"/>
      <c r="F52" s="22"/>
      <c r="G52" s="22"/>
      <c r="H52" s="23"/>
      <c r="I52" s="24"/>
      <c r="J52" s="25"/>
      <c r="K52" s="26"/>
      <c r="L52" s="26"/>
      <c r="M52" s="6"/>
      <c r="N52" s="52"/>
      <c r="O52" s="125"/>
      <c r="P52" s="125"/>
      <c r="Q52" s="125"/>
      <c r="R52" s="127"/>
      <c r="S52" s="127"/>
      <c r="T52" s="52"/>
      <c r="U52" s="52"/>
      <c r="V52" s="52"/>
      <c r="W52" s="52"/>
      <c r="X52" s="52"/>
      <c r="Y52" s="52"/>
      <c r="Z52" s="52"/>
    </row>
    <row r="53" spans="1:26" ht="15" customHeight="1" outlineLevel="1" x14ac:dyDescent="0.25">
      <c r="A53" s="55" t="s">
        <v>42</v>
      </c>
      <c r="B53" s="56">
        <f>MIN((B25-D25)*'data from oilseed masterfile'!W42,B25-D25-F25)*55%</f>
        <v>4.5859532504529525</v>
      </c>
      <c r="C53" s="56"/>
      <c r="D53" s="56">
        <f>+'data from oilseed masterfile'!W37</f>
        <v>0.51410332300000006</v>
      </c>
      <c r="E53" s="56">
        <f>B53-D53</f>
        <v>4.071849927452952</v>
      </c>
      <c r="F53" s="56">
        <f>(B53-D53)</f>
        <v>4.071849927452952</v>
      </c>
      <c r="G53" s="56">
        <f>F53</f>
        <v>4.071849927452952</v>
      </c>
      <c r="H53" s="61">
        <v>0.36</v>
      </c>
      <c r="I53" s="58">
        <f>F53*H53</f>
        <v>1.4658659738830626</v>
      </c>
      <c r="J53" s="58">
        <f>G53*H53</f>
        <v>1.4658659738830626</v>
      </c>
      <c r="K53" s="26"/>
      <c r="L53" s="26"/>
      <c r="M53" s="6">
        <f>+IF(H53&lt;15%,1,IF(H53&lt;30%,2,IF(H53&lt;50%,3,4)))</f>
        <v>3</v>
      </c>
      <c r="N53" s="52"/>
      <c r="O53" s="125"/>
      <c r="P53" s="125"/>
      <c r="Q53" s="125"/>
      <c r="R53" s="127"/>
      <c r="S53" s="128"/>
      <c r="T53" s="52"/>
      <c r="U53" s="52"/>
      <c r="V53" s="52"/>
      <c r="W53" s="52"/>
      <c r="X53" s="52"/>
      <c r="Y53" s="52"/>
      <c r="Z53" s="52"/>
    </row>
    <row r="54" spans="1:26" ht="15" customHeight="1" outlineLevel="1" x14ac:dyDescent="0.25">
      <c r="A54" s="55" t="s">
        <v>43</v>
      </c>
      <c r="B54" s="56">
        <f>C25*'data from oilseed masterfile'!W42*55%</f>
        <v>0.25890846414744123</v>
      </c>
      <c r="C54" s="56"/>
      <c r="D54" s="56"/>
      <c r="E54" s="56">
        <f>B54-D54</f>
        <v>0.25890846414744123</v>
      </c>
      <c r="F54" s="56">
        <f>(B54-D54)</f>
        <v>0.25890846414744123</v>
      </c>
      <c r="G54" s="56">
        <v>0</v>
      </c>
      <c r="H54" s="61">
        <v>0.36</v>
      </c>
      <c r="I54" s="58">
        <f>F54*H54</f>
        <v>9.3207047093078838E-2</v>
      </c>
      <c r="J54" s="58">
        <f>G54*H54</f>
        <v>0</v>
      </c>
      <c r="K54" s="26"/>
      <c r="L54" s="26"/>
      <c r="M54" s="6">
        <f>+IF(H54&lt;15%,1,IF(H54&lt;30%,2,IF(H54&lt;50%,3,4)))</f>
        <v>3</v>
      </c>
      <c r="N54" s="52"/>
      <c r="O54" s="125"/>
      <c r="P54" s="125"/>
      <c r="Q54" s="125"/>
      <c r="R54" s="127"/>
      <c r="S54" s="128"/>
      <c r="T54" s="52"/>
      <c r="U54" s="52"/>
      <c r="V54" s="52"/>
      <c r="W54" s="52"/>
      <c r="X54" s="52"/>
      <c r="Y54" s="52"/>
      <c r="Z54" s="52"/>
    </row>
    <row r="55" spans="1:26" ht="15" customHeight="1" outlineLevel="1" x14ac:dyDescent="0.25">
      <c r="A55" s="55" t="s">
        <v>44</v>
      </c>
      <c r="B55" s="56"/>
      <c r="C55" s="56">
        <f>+'data from oilseed masterfile'!W33</f>
        <v>3.2434701819999998</v>
      </c>
      <c r="D55" s="56"/>
      <c r="E55" s="56">
        <f>C55</f>
        <v>3.2434701819999998</v>
      </c>
      <c r="F55" s="56">
        <f>C55-D55</f>
        <v>3.2434701819999998</v>
      </c>
      <c r="G55" s="56">
        <v>0</v>
      </c>
      <c r="H55" s="61">
        <v>0.36</v>
      </c>
      <c r="I55" s="58">
        <f>F55*H55</f>
        <v>1.1676492655199999</v>
      </c>
      <c r="J55" s="58">
        <f>G55*H55</f>
        <v>0</v>
      </c>
      <c r="K55" s="26"/>
      <c r="L55" s="26"/>
      <c r="M55" s="6">
        <f>+IF(H55&lt;15%,1,IF(H55&lt;30%,2,IF(H55&lt;50%,3,4)))</f>
        <v>3</v>
      </c>
      <c r="N55" s="52"/>
      <c r="O55" s="125"/>
      <c r="P55" s="125"/>
      <c r="Q55" s="125"/>
      <c r="R55" s="127"/>
      <c r="S55" s="128"/>
      <c r="T55" s="52"/>
      <c r="U55" s="52"/>
      <c r="V55" s="52"/>
      <c r="W55" s="52"/>
      <c r="X55" s="52"/>
      <c r="Y55" s="52"/>
      <c r="Z55" s="52"/>
    </row>
    <row r="56" spans="1:26" ht="12.75" customHeight="1" outlineLevel="1" x14ac:dyDescent="0.25">
      <c r="A56" s="20"/>
      <c r="B56" s="21"/>
      <c r="C56" s="21"/>
      <c r="D56" s="21"/>
      <c r="E56" s="21"/>
      <c r="F56" s="22"/>
      <c r="G56" s="22"/>
      <c r="H56" s="23"/>
      <c r="I56" s="24"/>
      <c r="J56" s="25"/>
      <c r="K56" s="26"/>
      <c r="L56" s="26"/>
      <c r="M56" s="6"/>
      <c r="N56" s="52"/>
      <c r="O56" s="125"/>
      <c r="P56" s="125"/>
      <c r="Q56" s="125"/>
      <c r="R56" s="127"/>
      <c r="S56" s="128"/>
      <c r="T56" s="52"/>
      <c r="U56" s="52"/>
      <c r="V56" s="52"/>
      <c r="W56" s="52"/>
      <c r="X56" s="52"/>
      <c r="Y56" s="52"/>
      <c r="Z56" s="52"/>
    </row>
    <row r="57" spans="1:26" ht="15" customHeight="1" outlineLevel="1" x14ac:dyDescent="0.25">
      <c r="A57" s="48" t="s">
        <v>92</v>
      </c>
      <c r="B57" s="49">
        <f t="shared" ref="B57:E57" si="11">B59+B60+B61</f>
        <v>0.63700000000000001</v>
      </c>
      <c r="C57" s="49">
        <f t="shared" si="11"/>
        <v>2.1467775480000002</v>
      </c>
      <c r="D57" s="49">
        <f t="shared" si="11"/>
        <v>0.148136341</v>
      </c>
      <c r="E57" s="49">
        <f t="shared" si="11"/>
        <v>2.6356412069999995</v>
      </c>
      <c r="F57" s="49">
        <f>F59+F60+F61</f>
        <v>2.6356412069999995</v>
      </c>
      <c r="G57" s="49">
        <f>G59+G60+G61</f>
        <v>0.10427439699999998</v>
      </c>
      <c r="H57" s="50"/>
      <c r="I57" s="50">
        <f>SUM(I59:I61)</f>
        <v>0.53681301944999993</v>
      </c>
      <c r="J57" s="50">
        <f>SUM(J59:J61)</f>
        <v>5.3107022769999991E-2</v>
      </c>
      <c r="K57" s="51">
        <f>IF(I57=0,0,J57/I57)</f>
        <v>9.8930206321023312E-2</v>
      </c>
      <c r="L57" s="51">
        <f>+I57/$I$89</f>
        <v>7.638072697678396E-3</v>
      </c>
      <c r="M57" s="6"/>
      <c r="N57" s="52"/>
      <c r="O57" s="125"/>
      <c r="P57" s="125"/>
      <c r="Q57" s="125"/>
      <c r="R57" s="127"/>
      <c r="S57" s="128"/>
      <c r="T57" s="52"/>
      <c r="U57" s="52"/>
      <c r="V57" s="52"/>
      <c r="W57" s="52"/>
      <c r="X57" s="52"/>
      <c r="Y57" s="52"/>
      <c r="Z57" s="52"/>
    </row>
    <row r="58" spans="1:26" ht="15" customHeight="1" outlineLevel="1" x14ac:dyDescent="0.25">
      <c r="A58" s="20"/>
      <c r="B58" s="21"/>
      <c r="C58" s="21"/>
      <c r="D58" s="21"/>
      <c r="E58" s="21"/>
      <c r="F58" s="22"/>
      <c r="G58" s="22"/>
      <c r="H58" s="23"/>
      <c r="I58" s="24"/>
      <c r="J58" s="25"/>
      <c r="K58" s="26"/>
      <c r="L58" s="26"/>
      <c r="M58" s="6"/>
      <c r="N58" s="52"/>
      <c r="O58" s="125"/>
      <c r="P58" s="125"/>
      <c r="Q58" s="125"/>
      <c r="R58" s="127"/>
      <c r="S58" s="128"/>
      <c r="T58" s="52"/>
      <c r="U58" s="52"/>
      <c r="V58" s="52"/>
      <c r="W58" s="52"/>
      <c r="X58" s="52"/>
      <c r="Y58" s="52"/>
      <c r="Z58" s="52"/>
    </row>
    <row r="59" spans="1:26" ht="15" customHeight="1" outlineLevel="4" x14ac:dyDescent="0.25">
      <c r="A59" s="55" t="s">
        <v>46</v>
      </c>
      <c r="B59" s="56">
        <v>0</v>
      </c>
      <c r="C59" s="56">
        <v>2.0942151039999999</v>
      </c>
      <c r="D59" s="56">
        <v>6.9169028000000007E-2</v>
      </c>
      <c r="E59" s="56">
        <f>B59+C59-D59</f>
        <v>2.0250460759999998</v>
      </c>
      <c r="F59" s="56">
        <f>E59</f>
        <v>2.0250460759999998</v>
      </c>
      <c r="G59" s="56">
        <f>IF(B59&gt;E59,F59,F59*(B59-D59)/E59)</f>
        <v>-6.9169028000000007E-2</v>
      </c>
      <c r="H59" s="63">
        <v>0.16</v>
      </c>
      <c r="I59" s="58">
        <f>F59*H59</f>
        <v>0.32400737215999997</v>
      </c>
      <c r="J59" s="58">
        <f>G59*H59</f>
        <v>-1.1067044480000001E-2</v>
      </c>
      <c r="K59" s="26"/>
      <c r="L59" s="26"/>
      <c r="M59" s="6">
        <f>+IF(H59&lt;15%,1,IF(H59&lt;30%,2,IF(H59&lt;50%,3,4)))</f>
        <v>2</v>
      </c>
      <c r="N59" s="52"/>
      <c r="O59" s="125"/>
      <c r="P59" s="125"/>
      <c r="Q59" s="125"/>
      <c r="R59" s="127"/>
      <c r="S59" s="128"/>
      <c r="T59" s="52"/>
      <c r="U59" s="52"/>
      <c r="V59" s="52"/>
      <c r="W59" s="52"/>
      <c r="X59" s="52"/>
      <c r="Y59" s="52"/>
      <c r="Z59" s="52"/>
    </row>
    <row r="60" spans="1:26" ht="15" customHeight="1" outlineLevel="4" x14ac:dyDescent="0.25">
      <c r="A60" s="55" t="s">
        <v>47</v>
      </c>
      <c r="B60" s="56">
        <v>0.41699999999999998</v>
      </c>
      <c r="C60" s="56">
        <v>2.6806570000000002E-2</v>
      </c>
      <c r="D60" s="56">
        <v>6.6548640000000008E-3</v>
      </c>
      <c r="E60" s="56">
        <f>B60+C60-D60</f>
        <v>0.43715170600000003</v>
      </c>
      <c r="F60" s="56">
        <f>E60</f>
        <v>0.43715170600000003</v>
      </c>
      <c r="G60" s="56">
        <v>0</v>
      </c>
      <c r="H60" s="61">
        <v>0.34</v>
      </c>
      <c r="I60" s="58">
        <f>F60*H60</f>
        <v>0.14863158004000002</v>
      </c>
      <c r="J60" s="58">
        <f>G60*H60</f>
        <v>0</v>
      </c>
      <c r="K60" s="26"/>
      <c r="L60" s="26"/>
      <c r="M60" s="6">
        <f>+IF(H60&lt;15%,1,IF(H60&lt;30%,2,IF(H60&lt;50%,3,4)))</f>
        <v>3</v>
      </c>
      <c r="N60" s="52"/>
      <c r="O60" s="125"/>
      <c r="P60" s="125"/>
      <c r="Q60" s="125"/>
      <c r="R60" s="127"/>
      <c r="S60" s="128"/>
      <c r="T60" s="52"/>
      <c r="U60" s="52"/>
      <c r="V60" s="52"/>
      <c r="W60" s="52"/>
      <c r="X60" s="52"/>
      <c r="Y60" s="52"/>
      <c r="Z60" s="52"/>
    </row>
    <row r="61" spans="1:26" ht="15" customHeight="1" outlineLevel="4" x14ac:dyDescent="0.25">
      <c r="A61" s="55" t="s">
        <v>48</v>
      </c>
      <c r="B61" s="56">
        <v>0.22</v>
      </c>
      <c r="C61" s="56">
        <v>2.5755873999999998E-2</v>
      </c>
      <c r="D61" s="56">
        <v>7.2312449000000001E-2</v>
      </c>
      <c r="E61" s="56">
        <f>B61+C61-D61</f>
        <v>0.17344342499999998</v>
      </c>
      <c r="F61" s="56">
        <f>E61</f>
        <v>0.17344342499999998</v>
      </c>
      <c r="G61" s="56">
        <f>IF(B61&gt;E61,F61,F61*(B61-D61)/E61)</f>
        <v>0.17344342499999998</v>
      </c>
      <c r="H61" s="61">
        <v>0.37</v>
      </c>
      <c r="I61" s="58">
        <f>F61*H61</f>
        <v>6.4174067249999994E-2</v>
      </c>
      <c r="J61" s="58">
        <f>G61*H61</f>
        <v>6.4174067249999994E-2</v>
      </c>
      <c r="K61" s="26"/>
      <c r="L61" s="26"/>
      <c r="M61" s="6">
        <f>+IF(H61&lt;15%,1,IF(H61&lt;30%,2,IF(H61&lt;50%,3,4)))</f>
        <v>3</v>
      </c>
      <c r="N61" s="52"/>
      <c r="O61" s="125"/>
      <c r="P61" s="125"/>
      <c r="Q61" s="125"/>
      <c r="R61" s="127"/>
      <c r="S61" s="128"/>
      <c r="T61" s="52"/>
      <c r="U61" s="52"/>
      <c r="V61" s="52"/>
      <c r="W61" s="52"/>
      <c r="X61" s="52"/>
      <c r="Y61" s="52"/>
      <c r="Z61" s="52"/>
    </row>
    <row r="62" spans="1:26" ht="12.75" customHeight="1" outlineLevel="1" x14ac:dyDescent="0.25">
      <c r="A62" s="20"/>
      <c r="B62" s="21"/>
      <c r="C62" s="21"/>
      <c r="D62" s="21"/>
      <c r="E62" s="21"/>
      <c r="F62" s="22"/>
      <c r="G62" s="22"/>
      <c r="H62" s="23"/>
      <c r="I62" s="24"/>
      <c r="J62" s="25"/>
      <c r="K62" s="26"/>
      <c r="L62" s="26"/>
      <c r="M62" s="6"/>
      <c r="N62" s="52"/>
      <c r="O62" s="125"/>
      <c r="P62" s="125"/>
      <c r="Q62" s="125"/>
      <c r="R62" s="127"/>
      <c r="S62" s="127"/>
      <c r="T62" s="52"/>
      <c r="U62" s="52"/>
      <c r="V62" s="52"/>
      <c r="W62" s="52"/>
      <c r="X62" s="52"/>
      <c r="Y62" s="52"/>
      <c r="Z62" s="52"/>
    </row>
    <row r="63" spans="1:26" ht="19.5" customHeight="1" x14ac:dyDescent="0.25">
      <c r="A63" s="48" t="s">
        <v>49</v>
      </c>
      <c r="B63" s="49">
        <f t="shared" ref="B63:E63" si="12">SUM(B65:B72)</f>
        <v>32.767796542375613</v>
      </c>
      <c r="C63" s="49">
        <f t="shared" si="12"/>
        <v>4.3672684660000005</v>
      </c>
      <c r="D63" s="49">
        <f t="shared" si="12"/>
        <v>1.5109674310000001</v>
      </c>
      <c r="E63" s="49">
        <f t="shared" si="12"/>
        <v>35.624097577375622</v>
      </c>
      <c r="F63" s="49">
        <f>SUM(F65:F72)</f>
        <v>32.104859822480542</v>
      </c>
      <c r="G63" s="49">
        <f>SUM(G65:G72)</f>
        <v>29.767208986480533</v>
      </c>
      <c r="H63" s="50"/>
      <c r="I63" s="50">
        <f>SUM(I65:I72)</f>
        <v>4.72096991267333</v>
      </c>
      <c r="J63" s="50">
        <f>SUM(J65:J72)</f>
        <v>4.3777006471303306</v>
      </c>
      <c r="K63" s="51">
        <f>IF(I63=0,0,J63/I63)</f>
        <v>0.92728840219432418</v>
      </c>
      <c r="L63" s="51">
        <f>+I63/$I$89</f>
        <v>6.7172572366997058E-2</v>
      </c>
      <c r="M63" s="6"/>
      <c r="N63" s="52"/>
      <c r="O63" s="125"/>
      <c r="P63" s="125"/>
      <c r="Q63" s="125"/>
      <c r="R63" s="127"/>
      <c r="S63" s="127"/>
      <c r="T63" s="52"/>
      <c r="U63" s="52"/>
      <c r="V63" s="52"/>
      <c r="W63" s="52"/>
      <c r="X63" s="52"/>
      <c r="Y63" s="52"/>
      <c r="Z63" s="52"/>
    </row>
    <row r="64" spans="1:26" ht="15" customHeight="1" outlineLevel="2" x14ac:dyDescent="0.25">
      <c r="A64" s="20"/>
      <c r="B64" s="21"/>
      <c r="C64" s="21"/>
      <c r="D64" s="21"/>
      <c r="E64" s="21"/>
      <c r="F64" s="22"/>
      <c r="G64" s="22"/>
      <c r="H64" s="23"/>
      <c r="I64" s="24"/>
      <c r="J64" s="25"/>
      <c r="K64" s="26"/>
      <c r="L64" s="26"/>
      <c r="M64" s="6"/>
      <c r="N64" s="52"/>
      <c r="O64" s="125"/>
      <c r="P64" s="125"/>
      <c r="Q64" s="125"/>
      <c r="R64" s="127"/>
      <c r="S64" s="127"/>
      <c r="T64" s="52"/>
      <c r="U64" s="52"/>
      <c r="V64" s="52"/>
      <c r="W64" s="52"/>
      <c r="X64" s="52"/>
      <c r="Y64" s="52"/>
      <c r="Z64" s="52"/>
    </row>
    <row r="65" spans="1:26" ht="15" customHeight="1" outlineLevel="4" x14ac:dyDescent="0.25">
      <c r="A65" s="55" t="s">
        <v>50</v>
      </c>
      <c r="B65" s="56">
        <v>4.036667527676574</v>
      </c>
      <c r="C65" s="56">
        <v>0.6184662350000002</v>
      </c>
      <c r="D65" s="56">
        <v>0.47324975600000002</v>
      </c>
      <c r="E65" s="56">
        <f t="shared" ref="E65:E67" si="13">B65+C65-D65</f>
        <v>4.1818840066765741</v>
      </c>
      <c r="F65" s="56">
        <f>E65</f>
        <v>4.1818840066765741</v>
      </c>
      <c r="G65" s="56">
        <f>+F65</f>
        <v>4.1818840066765741</v>
      </c>
      <c r="H65" s="63">
        <v>0.19</v>
      </c>
      <c r="I65" s="58">
        <f>F65*H65</f>
        <v>0.79455796126854905</v>
      </c>
      <c r="J65" s="58">
        <f>G65*H65</f>
        <v>0.79455796126854905</v>
      </c>
      <c r="K65" s="26"/>
      <c r="L65" s="26"/>
      <c r="M65" s="6">
        <f t="shared" ref="M65:M71" si="14">+IF(H65&lt;15%,1,IF(H65&lt;30%,2,IF(H65&lt;50%,3,4)))</f>
        <v>2</v>
      </c>
      <c r="N65" s="52"/>
      <c r="O65" s="125"/>
      <c r="P65" s="125"/>
      <c r="Q65" s="125"/>
      <c r="R65" s="127"/>
      <c r="S65" s="128"/>
      <c r="T65" s="52"/>
      <c r="U65" s="52"/>
      <c r="V65" s="52"/>
      <c r="W65" s="52"/>
      <c r="X65" s="52"/>
      <c r="Y65" s="52"/>
      <c r="Z65" s="52"/>
    </row>
    <row r="66" spans="1:26" ht="15.75" outlineLevel="4" x14ac:dyDescent="0.25">
      <c r="A66" s="55" t="s">
        <v>51</v>
      </c>
      <c r="B66" s="56">
        <v>1.0150027608927434</v>
      </c>
      <c r="C66" s="56"/>
      <c r="D66" s="56"/>
      <c r="E66" s="56">
        <f t="shared" si="13"/>
        <v>1.0150027608927434</v>
      </c>
      <c r="F66" s="56">
        <v>0.67224064052180987</v>
      </c>
      <c r="G66" s="56">
        <f>+F66</f>
        <v>0.67224064052180987</v>
      </c>
      <c r="H66" s="65">
        <v>0.73</v>
      </c>
      <c r="I66" s="58">
        <f>F66*H66</f>
        <v>0.49073566758092119</v>
      </c>
      <c r="J66" s="58">
        <f>G66*H66</f>
        <v>0.49073566758092119</v>
      </c>
      <c r="K66" s="26"/>
      <c r="L66" s="26"/>
      <c r="M66" s="6">
        <f t="shared" si="14"/>
        <v>4</v>
      </c>
      <c r="N66" s="52"/>
      <c r="O66" s="125"/>
      <c r="P66" s="125"/>
      <c r="Q66" s="125"/>
      <c r="R66" s="127"/>
      <c r="S66" s="128"/>
      <c r="T66" s="52"/>
      <c r="U66" s="52"/>
      <c r="V66" s="52"/>
      <c r="W66" s="52"/>
      <c r="X66" s="52"/>
      <c r="Y66" s="52"/>
      <c r="Z66" s="52"/>
    </row>
    <row r="67" spans="1:26" ht="29.25" customHeight="1" outlineLevel="4" x14ac:dyDescent="0.25">
      <c r="A67" s="66" t="s">
        <v>93</v>
      </c>
      <c r="B67" s="67">
        <f>'data from cereal masterfile'!I60*(I77*0.362+(1-I77)*0.276)</f>
        <v>3.458135964492433</v>
      </c>
      <c r="C67" s="67">
        <v>0.83728350900000004</v>
      </c>
      <c r="D67" s="67">
        <v>0.36350477599999997</v>
      </c>
      <c r="E67" s="67">
        <f t="shared" si="13"/>
        <v>3.9319146974924326</v>
      </c>
      <c r="F67" s="67">
        <f>E67</f>
        <v>3.9319146974924326</v>
      </c>
      <c r="G67" s="67">
        <f>IF(B67&gt;E67,F67,F67*(B67-D67)/E67)</f>
        <v>3.0946311884924329</v>
      </c>
      <c r="H67" s="68" t="s">
        <v>53</v>
      </c>
      <c r="I67" s="69">
        <f>(B67-D67)*0.3+C67*0.27</f>
        <v>1.1544559039777298</v>
      </c>
      <c r="J67" s="69">
        <f>(B67-D67)*0.3</f>
        <v>0.9283893565477298</v>
      </c>
      <c r="K67" s="26"/>
      <c r="L67" s="26"/>
      <c r="M67" s="6">
        <v>2</v>
      </c>
      <c r="N67" s="52"/>
      <c r="O67" s="125"/>
      <c r="P67" s="125"/>
      <c r="Q67" s="125"/>
      <c r="R67" s="127"/>
      <c r="S67" s="128"/>
      <c r="T67" s="52"/>
      <c r="U67" s="52"/>
      <c r="V67" s="52"/>
      <c r="W67" s="52"/>
      <c r="X67" s="52"/>
      <c r="Y67" s="52"/>
      <c r="Z67" s="52"/>
    </row>
    <row r="68" spans="1:26" ht="15" customHeight="1" outlineLevel="4" x14ac:dyDescent="0.25">
      <c r="A68" s="55" t="s">
        <v>94</v>
      </c>
      <c r="B68" s="56">
        <v>6.3124980740500005</v>
      </c>
      <c r="C68" s="56"/>
      <c r="D68" s="56"/>
      <c r="E68" s="56">
        <f>+B68+C68-D68</f>
        <v>6.3124980740500005</v>
      </c>
      <c r="F68" s="56">
        <f>+E68</f>
        <v>6.3124980740500005</v>
      </c>
      <c r="G68" s="56">
        <f>+F68</f>
        <v>6.3124980740500005</v>
      </c>
      <c r="H68" s="57">
        <v>5.3999999999999999E-2</v>
      </c>
      <c r="I68" s="58">
        <f>+F68*$H$68</f>
        <v>0.34087489599870002</v>
      </c>
      <c r="J68" s="58">
        <f>+G68*$H$68</f>
        <v>0.34087489599870002</v>
      </c>
      <c r="K68" s="26"/>
      <c r="L68" s="26"/>
      <c r="M68" s="6">
        <f t="shared" si="14"/>
        <v>1</v>
      </c>
      <c r="N68" s="52"/>
      <c r="O68" s="125"/>
      <c r="P68" s="125"/>
      <c r="Q68" s="125"/>
      <c r="R68" s="127"/>
      <c r="S68" s="128"/>
      <c r="T68" s="52"/>
      <c r="U68" s="52"/>
      <c r="V68" s="52"/>
      <c r="W68" s="52"/>
      <c r="X68" s="52"/>
      <c r="Y68" s="52"/>
      <c r="Z68" s="52"/>
    </row>
    <row r="69" spans="1:26" ht="15" customHeight="1" outlineLevel="4" x14ac:dyDescent="0.25">
      <c r="A69" s="55" t="s">
        <v>55</v>
      </c>
      <c r="B69" s="56">
        <f>('data from cereal masterfile'!I63+'data from cereal masterfile'!I65)*0.15</f>
        <v>7.4490980890978884</v>
      </c>
      <c r="C69" s="56">
        <v>6.5230811E-2</v>
      </c>
      <c r="D69" s="56">
        <v>0.19436078299999998</v>
      </c>
      <c r="E69" s="56">
        <f>B69+C69-D69</f>
        <v>7.319968117097889</v>
      </c>
      <c r="F69" s="56">
        <f>E69</f>
        <v>7.319968117097889</v>
      </c>
      <c r="G69" s="56">
        <f>IF(B69&gt;E69,F69,F69*(B69-D69)/E69)</f>
        <v>7.319968117097889</v>
      </c>
      <c r="H69" s="71">
        <v>0.155</v>
      </c>
      <c r="I69" s="58">
        <f>F69*H69</f>
        <v>1.1345950581501727</v>
      </c>
      <c r="J69" s="58">
        <f>G69*H69</f>
        <v>1.1345950581501727</v>
      </c>
      <c r="K69" s="26"/>
      <c r="L69" s="26"/>
      <c r="M69" s="6">
        <f t="shared" si="14"/>
        <v>2</v>
      </c>
      <c r="N69" s="52"/>
      <c r="O69" s="125"/>
      <c r="P69" s="125"/>
      <c r="Q69" s="125"/>
      <c r="R69" s="127"/>
      <c r="S69" s="128"/>
      <c r="T69" s="52"/>
      <c r="U69" s="72"/>
      <c r="V69" s="73"/>
      <c r="W69" s="73"/>
      <c r="X69" s="73"/>
      <c r="Y69" s="74"/>
      <c r="Z69" s="74"/>
    </row>
    <row r="70" spans="1:26" ht="15.75" outlineLevel="4" x14ac:dyDescent="0.25">
      <c r="A70" s="55" t="s">
        <v>56</v>
      </c>
      <c r="B70" s="56">
        <v>0</v>
      </c>
      <c r="C70" s="56">
        <v>0.34188130500000002</v>
      </c>
      <c r="D70" s="56">
        <v>1.0306124999999999E-2</v>
      </c>
      <c r="E70" s="56">
        <f>B70+C70-D70</f>
        <v>0.33157518000000002</v>
      </c>
      <c r="F70" s="56">
        <f>E70</f>
        <v>0.33157518000000002</v>
      </c>
      <c r="G70" s="56">
        <f>IF(B70&gt;E70,F70,F70*B70/E70)</f>
        <v>0</v>
      </c>
      <c r="H70" s="57">
        <v>7.4999999999999997E-2</v>
      </c>
      <c r="I70" s="58">
        <f>F70*H70</f>
        <v>2.4868138500000001E-2</v>
      </c>
      <c r="J70" s="58">
        <f>G70*H70</f>
        <v>0</v>
      </c>
      <c r="K70" s="26"/>
      <c r="L70" s="26"/>
      <c r="M70" s="6">
        <f t="shared" si="14"/>
        <v>1</v>
      </c>
      <c r="N70" s="52"/>
      <c r="O70" s="125"/>
      <c r="P70" s="125"/>
      <c r="Q70" s="125"/>
      <c r="R70" s="127"/>
      <c r="S70" s="128"/>
      <c r="T70" s="52"/>
      <c r="U70" s="72"/>
      <c r="V70" s="73"/>
      <c r="W70" s="72"/>
      <c r="X70" s="75"/>
      <c r="Y70" s="76"/>
      <c r="Z70" s="74"/>
    </row>
    <row r="71" spans="1:26" ht="15" customHeight="1" outlineLevel="4" x14ac:dyDescent="0.25">
      <c r="A71" s="55" t="s">
        <v>57</v>
      </c>
      <c r="B71" s="56">
        <v>6.9127032373363466</v>
      </c>
      <c r="C71" s="56">
        <v>1.168792147</v>
      </c>
      <c r="D71" s="56">
        <v>0.22152834100000002</v>
      </c>
      <c r="E71" s="56">
        <f>B71+C71-D71</f>
        <v>7.8599670433363462</v>
      </c>
      <c r="F71" s="56">
        <f>E71</f>
        <v>7.8599670433363462</v>
      </c>
      <c r="G71" s="56">
        <f>IF(B71&gt;E71,F71,F71*(B71-D71)/E71)</f>
        <v>6.6911748963363467</v>
      </c>
      <c r="H71" s="57">
        <v>7.9000000000000001E-2</v>
      </c>
      <c r="I71" s="58">
        <f>F71*H71</f>
        <v>0.62093739642357137</v>
      </c>
      <c r="J71" s="58">
        <f>G71*H71</f>
        <v>0.52860281681057142</v>
      </c>
      <c r="K71" s="26"/>
      <c r="L71" s="26"/>
      <c r="M71" s="6">
        <f t="shared" si="14"/>
        <v>1</v>
      </c>
      <c r="N71" s="52"/>
      <c r="O71" s="125"/>
      <c r="P71" s="125"/>
      <c r="Q71" s="125"/>
      <c r="R71" s="127"/>
      <c r="S71" s="128"/>
      <c r="T71" s="52"/>
      <c r="U71" s="52"/>
      <c r="V71" s="52"/>
      <c r="W71" s="52"/>
      <c r="X71" s="52"/>
      <c r="Y71" s="52"/>
      <c r="Z71" s="52"/>
    </row>
    <row r="72" spans="1:26" ht="30" customHeight="1" outlineLevel="4" x14ac:dyDescent="0.25">
      <c r="A72" s="66" t="s">
        <v>58</v>
      </c>
      <c r="B72" s="67">
        <v>3.5836908888296324</v>
      </c>
      <c r="C72" s="67">
        <v>1.3356144590000001</v>
      </c>
      <c r="D72" s="67">
        <v>0.24801764999999998</v>
      </c>
      <c r="E72" s="67">
        <f>B72+C72-D72</f>
        <v>4.6712876978296318</v>
      </c>
      <c r="F72" s="67">
        <f>E72*0.32</f>
        <v>1.4948120633054822</v>
      </c>
      <c r="G72" s="67">
        <f>+IF(B72&gt;F72,F72,B72-D72)</f>
        <v>1.4948120633054822</v>
      </c>
      <c r="H72" s="77" t="s">
        <v>95</v>
      </c>
      <c r="I72" s="69">
        <f>G72*0.107+(F72-G72)*0.042</f>
        <v>0.15994489077368659</v>
      </c>
      <c r="J72" s="69">
        <f>G72*0.107</f>
        <v>0.15994489077368659</v>
      </c>
      <c r="K72" s="26"/>
      <c r="L72" s="26"/>
      <c r="M72" s="6">
        <v>1</v>
      </c>
      <c r="N72" s="52"/>
      <c r="O72" s="125"/>
      <c r="P72" s="125"/>
      <c r="Q72" s="125"/>
      <c r="R72" s="127"/>
      <c r="S72" s="128"/>
      <c r="T72" s="52"/>
      <c r="U72" s="52"/>
      <c r="V72" s="52"/>
      <c r="W72" s="52"/>
      <c r="X72" s="52"/>
      <c r="Y72" s="52"/>
      <c r="Z72" s="52"/>
    </row>
    <row r="73" spans="1:26" ht="12.75" customHeight="1" x14ac:dyDescent="0.25">
      <c r="A73" s="20"/>
      <c r="B73" s="21"/>
      <c r="C73" s="21"/>
      <c r="D73" s="21"/>
      <c r="E73" s="21"/>
      <c r="F73" s="22"/>
      <c r="G73" s="22"/>
      <c r="H73" s="23"/>
      <c r="I73" s="24"/>
      <c r="J73" s="25"/>
      <c r="K73" s="26"/>
      <c r="L73" s="26"/>
      <c r="M73" s="6"/>
      <c r="N73" s="52"/>
      <c r="O73" s="125"/>
      <c r="P73" s="125"/>
      <c r="Q73" s="125"/>
      <c r="R73" s="127"/>
      <c r="S73" s="127"/>
      <c r="T73" s="52"/>
      <c r="U73" s="52"/>
      <c r="V73" s="52"/>
      <c r="W73" s="52"/>
      <c r="X73" s="52"/>
      <c r="Y73" s="52"/>
      <c r="Z73" s="52"/>
    </row>
    <row r="74" spans="1:26" ht="36.75" customHeight="1" x14ac:dyDescent="0.25">
      <c r="A74" s="27" t="s">
        <v>60</v>
      </c>
      <c r="B74" s="28"/>
      <c r="C74" s="28"/>
      <c r="D74" s="28"/>
      <c r="E74" s="28"/>
      <c r="F74" s="29">
        <f>SUM(F76:F80)</f>
        <v>5.7633891682859373</v>
      </c>
      <c r="G74" s="29">
        <f>SUM(G76:G80)</f>
        <v>5.5561905419340238</v>
      </c>
      <c r="H74" s="30"/>
      <c r="I74" s="30">
        <f>SUM(I76:I80)</f>
        <v>1.6910039878511394</v>
      </c>
      <c r="J74" s="30">
        <f>SUM(J76:J80)</f>
        <v>1.5598717076248967</v>
      </c>
      <c r="K74" s="31">
        <f>IF(I74=0,0,J74/I74)</f>
        <v>0.92245300355980808</v>
      </c>
      <c r="L74" s="31">
        <f>+I74/$I$89</f>
        <v>2.406054049230098E-2</v>
      </c>
      <c r="M74" s="6"/>
      <c r="N74" s="52"/>
      <c r="O74" s="125"/>
      <c r="P74" s="125"/>
      <c r="Q74" s="125"/>
      <c r="R74" s="127"/>
      <c r="S74" s="127"/>
      <c r="T74" s="52"/>
      <c r="U74" s="52"/>
      <c r="V74" s="52"/>
      <c r="W74" s="52"/>
      <c r="X74" s="52"/>
      <c r="Y74" s="52"/>
      <c r="Z74" s="52"/>
    </row>
    <row r="75" spans="1:26" ht="15" customHeight="1" outlineLevel="1" x14ac:dyDescent="0.25">
      <c r="A75" s="20" t="s">
        <v>61</v>
      </c>
      <c r="B75" s="21"/>
      <c r="C75" s="21"/>
      <c r="D75" s="21"/>
      <c r="E75" s="21"/>
      <c r="F75" s="22"/>
      <c r="G75" s="22"/>
      <c r="H75" s="23"/>
      <c r="I75" s="24"/>
      <c r="J75" s="25"/>
      <c r="K75" s="26"/>
      <c r="L75" s="26"/>
      <c r="M75" s="6"/>
      <c r="N75" s="52"/>
      <c r="O75" s="125"/>
      <c r="P75" s="125"/>
      <c r="Q75" s="125"/>
      <c r="R75" s="127"/>
      <c r="S75" s="127"/>
      <c r="T75" s="52"/>
      <c r="U75" s="52"/>
      <c r="V75" s="52"/>
      <c r="W75" s="52"/>
      <c r="X75" s="52"/>
      <c r="Y75" s="52"/>
      <c r="Z75" s="52"/>
    </row>
    <row r="76" spans="1:26" ht="15" customHeight="1" outlineLevel="1" x14ac:dyDescent="0.25">
      <c r="A76" s="55" t="s">
        <v>96</v>
      </c>
      <c r="B76" s="56">
        <v>0.39800000000000002</v>
      </c>
      <c r="C76" s="56">
        <v>0.24686332599999997</v>
      </c>
      <c r="D76" s="56">
        <v>0.171028659</v>
      </c>
      <c r="E76" s="56">
        <f>B76+C76-D76</f>
        <v>0.47383466699999999</v>
      </c>
      <c r="F76" s="56">
        <f>E76</f>
        <v>0.47383466699999999</v>
      </c>
      <c r="G76" s="56">
        <f>IF(B76&gt;E76,F76,F76*B76/E76)</f>
        <v>0.39800000000000002</v>
      </c>
      <c r="H76" s="65">
        <v>0.65</v>
      </c>
      <c r="I76" s="58">
        <f>F76*H76</f>
        <v>0.30799253355</v>
      </c>
      <c r="J76" s="58">
        <f>G76*H76</f>
        <v>0.25870000000000004</v>
      </c>
      <c r="K76" s="26"/>
      <c r="L76" s="26"/>
      <c r="M76" s="6">
        <f>+IF(H76&lt;15%,1,IF(H76&lt;30%,2,IF(H76&lt;50%,3,4)))</f>
        <v>4</v>
      </c>
      <c r="N76" s="52"/>
      <c r="O76" s="125"/>
      <c r="P76" s="125"/>
      <c r="Q76" s="125"/>
      <c r="R76" s="127"/>
      <c r="S76" s="125"/>
      <c r="T76" s="52"/>
      <c r="U76" s="52"/>
      <c r="V76" s="52"/>
      <c r="W76" s="52"/>
      <c r="X76" s="52"/>
      <c r="Y76" s="52"/>
      <c r="Z76" s="52"/>
    </row>
    <row r="77" spans="1:26" ht="15.75" outlineLevel="1" x14ac:dyDescent="0.25">
      <c r="A77" s="55" t="s">
        <v>97</v>
      </c>
      <c r="B77" s="56">
        <v>1.9928668035455785</v>
      </c>
      <c r="C77" s="56">
        <v>0.112066237</v>
      </c>
      <c r="D77" s="56">
        <v>0.76799404300000018</v>
      </c>
      <c r="E77" s="56">
        <f>B77+C77-D77</f>
        <v>1.3369389975455781</v>
      </c>
      <c r="F77" s="56">
        <v>0.57699999999999996</v>
      </c>
      <c r="G77" s="56">
        <f>+F77</f>
        <v>0.57699999999999996</v>
      </c>
      <c r="H77" s="57">
        <v>0.125</v>
      </c>
      <c r="I77" s="58">
        <f>F77*H77</f>
        <v>7.2124999999999995E-2</v>
      </c>
      <c r="J77" s="58">
        <f>G77*H77</f>
        <v>7.2124999999999995E-2</v>
      </c>
      <c r="K77" s="26"/>
      <c r="L77" s="26"/>
      <c r="M77" s="6">
        <f>+IF(H77&lt;15%,1,IF(H77&lt;30%,2,IF(H77&lt;50%,3,4)))</f>
        <v>1</v>
      </c>
      <c r="N77" s="52"/>
      <c r="O77" s="125"/>
      <c r="P77" s="125"/>
      <c r="Q77" s="125"/>
      <c r="R77" s="127"/>
      <c r="S77" s="125"/>
      <c r="T77" s="52"/>
      <c r="U77" s="52"/>
      <c r="V77" s="52"/>
      <c r="W77" s="52"/>
      <c r="X77" s="52"/>
      <c r="Y77" s="52"/>
      <c r="Z77" s="52"/>
    </row>
    <row r="78" spans="1:26" ht="15" customHeight="1" outlineLevel="1" x14ac:dyDescent="0.25">
      <c r="A78" s="55" t="s">
        <v>98</v>
      </c>
      <c r="B78" s="56">
        <v>1.4621092875139978</v>
      </c>
      <c r="C78" s="56">
        <v>4.1023378999999999E-2</v>
      </c>
      <c r="D78" s="56">
        <v>0.93725848700000003</v>
      </c>
      <c r="E78" s="56">
        <f>B78+C78-D78</f>
        <v>0.56587417951399788</v>
      </c>
      <c r="F78" s="56">
        <v>0.14499999999999999</v>
      </c>
      <c r="G78" s="56">
        <f>+F78</f>
        <v>0.14499999999999999</v>
      </c>
      <c r="H78" s="61">
        <v>0.34</v>
      </c>
      <c r="I78" s="58">
        <f>F78*H78</f>
        <v>4.9300000000000004E-2</v>
      </c>
      <c r="J78" s="58">
        <f>G78*H78</f>
        <v>4.9300000000000004E-2</v>
      </c>
      <c r="K78" s="26"/>
      <c r="L78" s="26"/>
      <c r="M78" s="6">
        <f>+IF(H78&lt;15%,1,IF(H78&lt;30%,2,IF(H78&lt;50%,3,4)))</f>
        <v>3</v>
      </c>
      <c r="N78" s="52"/>
      <c r="O78" s="125"/>
      <c r="P78" s="125"/>
      <c r="Q78" s="125"/>
      <c r="R78" s="127"/>
      <c r="S78" s="125"/>
      <c r="T78" s="52"/>
      <c r="U78" s="52"/>
      <c r="V78" s="52"/>
      <c r="W78" s="52"/>
      <c r="X78" s="52"/>
      <c r="Y78" s="52"/>
      <c r="Z78" s="52"/>
    </row>
    <row r="79" spans="1:26" ht="15" customHeight="1" outlineLevel="1" x14ac:dyDescent="0.25">
      <c r="A79" s="55" t="s">
        <v>99</v>
      </c>
      <c r="B79" s="56">
        <v>2.5020009264436469</v>
      </c>
      <c r="C79" s="56">
        <v>0.13117856899999999</v>
      </c>
      <c r="D79" s="56">
        <v>1.2034303040000001</v>
      </c>
      <c r="E79" s="56">
        <v>1.9120151621665422</v>
      </c>
      <c r="F79" s="56">
        <v>1.5675545012859375</v>
      </c>
      <c r="G79" s="56">
        <v>1.4361905419340235</v>
      </c>
      <c r="H79" s="65">
        <v>0.623</v>
      </c>
      <c r="I79" s="58">
        <f>F79*H79</f>
        <v>0.97658645430113911</v>
      </c>
      <c r="J79" s="58">
        <f>G79*H79</f>
        <v>0.89474670762489661</v>
      </c>
      <c r="K79" s="78"/>
      <c r="L79" s="78"/>
      <c r="M79" s="6">
        <f>+IF(H79&lt;15%,1,IF(H79&lt;30%,2,IF(H79&lt;50%,3,4)))</f>
        <v>4</v>
      </c>
      <c r="N79" s="52"/>
      <c r="O79" s="125"/>
      <c r="P79" s="125"/>
      <c r="Q79" s="125"/>
      <c r="R79" s="127"/>
      <c r="S79" s="125"/>
      <c r="T79" s="52"/>
      <c r="U79" s="52"/>
      <c r="V79" s="52"/>
      <c r="W79" s="52"/>
      <c r="X79" s="52"/>
      <c r="Y79" s="52"/>
      <c r="Z79" s="52"/>
    </row>
    <row r="80" spans="1:26" ht="15" customHeight="1" outlineLevel="1" x14ac:dyDescent="0.25">
      <c r="A80" s="55" t="s">
        <v>100</v>
      </c>
      <c r="B80" s="79"/>
      <c r="C80" s="79"/>
      <c r="D80" s="79"/>
      <c r="E80" s="79"/>
      <c r="F80" s="79">
        <v>3</v>
      </c>
      <c r="G80" s="79">
        <v>3</v>
      </c>
      <c r="H80" s="57">
        <f>0.095</f>
        <v>9.5000000000000001E-2</v>
      </c>
      <c r="I80" s="58">
        <f>F80*H80</f>
        <v>0.28500000000000003</v>
      </c>
      <c r="J80" s="58">
        <f>G80*H80</f>
        <v>0.28500000000000003</v>
      </c>
      <c r="K80" s="26"/>
      <c r="L80" s="26"/>
      <c r="M80" s="6">
        <f>+IF(H80&lt;15%,1,IF(H80&lt;30%,2,IF(H80&lt;50%,3,4)))</f>
        <v>1</v>
      </c>
      <c r="O80" s="125"/>
      <c r="P80" s="125"/>
      <c r="Q80" s="125"/>
      <c r="R80" s="126"/>
      <c r="S80" s="125"/>
    </row>
    <row r="81" spans="1:26" ht="12.75" customHeight="1" x14ac:dyDescent="0.25">
      <c r="A81" s="80"/>
      <c r="B81" s="24"/>
      <c r="C81" s="24"/>
      <c r="D81" s="24"/>
      <c r="E81" s="24"/>
      <c r="F81" s="25"/>
      <c r="G81" s="25"/>
      <c r="H81" s="81"/>
      <c r="I81" s="24"/>
      <c r="J81" s="25"/>
      <c r="K81" s="26"/>
      <c r="L81" s="26"/>
      <c r="M81" s="6"/>
      <c r="O81" s="125"/>
      <c r="P81" s="125"/>
      <c r="Q81" s="125"/>
      <c r="R81" s="126"/>
      <c r="S81" s="126"/>
    </row>
    <row r="82" spans="1:26" ht="35.25" customHeight="1" x14ac:dyDescent="0.25">
      <c r="A82" s="27" t="s">
        <v>67</v>
      </c>
      <c r="B82" s="28"/>
      <c r="C82" s="28"/>
      <c r="D82" s="28"/>
      <c r="E82" s="28"/>
      <c r="F82" s="82">
        <f>SUM(F84:F87)</f>
        <v>877.05339893257155</v>
      </c>
      <c r="G82" s="82">
        <f>SUM(G84:G87)</f>
        <v>877.05339893257155</v>
      </c>
      <c r="H82" s="30"/>
      <c r="I82" s="82">
        <f>SUM(I84:I87)</f>
        <v>27.405546193316482</v>
      </c>
      <c r="J82" s="82">
        <f>SUM(J84:J87)</f>
        <v>27.405546193316482</v>
      </c>
      <c r="K82" s="31">
        <f>IF(I82=0,0,J82/I82)</f>
        <v>1</v>
      </c>
      <c r="L82" s="31">
        <f>+I82/$I$89</f>
        <v>0.38994127668252615</v>
      </c>
      <c r="M82" s="6"/>
      <c r="O82" s="125"/>
      <c r="P82" s="125"/>
      <c r="Q82" s="125"/>
      <c r="R82" s="126"/>
      <c r="S82" s="126"/>
    </row>
    <row r="83" spans="1:26" ht="15" customHeight="1" outlineLevel="1" x14ac:dyDescent="0.25">
      <c r="A83" s="83"/>
      <c r="B83" s="84"/>
      <c r="C83" s="84"/>
      <c r="D83" s="84"/>
      <c r="E83" s="84"/>
      <c r="F83" s="85"/>
      <c r="G83" s="85"/>
      <c r="H83" s="86"/>
      <c r="I83" s="87"/>
      <c r="J83" s="88"/>
      <c r="K83" s="89"/>
      <c r="L83" s="90"/>
      <c r="M83" s="6"/>
      <c r="O83" s="125"/>
      <c r="P83" s="125"/>
      <c r="Q83" s="125"/>
      <c r="R83" s="126"/>
      <c r="S83" s="126"/>
    </row>
    <row r="84" spans="1:26" ht="15" customHeight="1" outlineLevel="1" x14ac:dyDescent="0.25">
      <c r="A84" s="55" t="s">
        <v>68</v>
      </c>
      <c r="B84" s="79">
        <v>569.72680329920524</v>
      </c>
      <c r="C84" s="79"/>
      <c r="D84" s="79"/>
      <c r="E84" s="79">
        <f>+B84+C84-D84</f>
        <v>569.72680329920524</v>
      </c>
      <c r="F84" s="79">
        <f t="shared" ref="F84:G86" si="15">+E84</f>
        <v>569.72680329920524</v>
      </c>
      <c r="G84" s="79">
        <f t="shared" si="15"/>
        <v>569.72680329920524</v>
      </c>
      <c r="H84" s="57">
        <v>2.6066712037040814E-2</v>
      </c>
      <c r="I84" s="79">
        <f>+F84*H84</f>
        <v>14.850904521384177</v>
      </c>
      <c r="J84" s="79">
        <f>+H84*G84</f>
        <v>14.850904521384177</v>
      </c>
      <c r="K84" s="93"/>
      <c r="L84" s="93"/>
      <c r="M84" s="6">
        <f>+IF(H84&lt;15%,1,IF(H84&lt;30%,2,IF(H84&lt;50%,3,4)))</f>
        <v>1</v>
      </c>
      <c r="O84" s="125"/>
      <c r="P84" s="125"/>
      <c r="Q84" s="125"/>
      <c r="R84" s="126"/>
      <c r="S84" s="125"/>
    </row>
    <row r="85" spans="1:26" s="96" customFormat="1" ht="15" customHeight="1" outlineLevel="1" x14ac:dyDescent="0.2">
      <c r="A85" s="55" t="s">
        <v>69</v>
      </c>
      <c r="B85" s="79">
        <v>228.23423</v>
      </c>
      <c r="C85" s="79"/>
      <c r="D85" s="79"/>
      <c r="E85" s="79">
        <f>+B85+C85-D85</f>
        <v>228.23423</v>
      </c>
      <c r="F85" s="79">
        <f t="shared" si="15"/>
        <v>228.23423</v>
      </c>
      <c r="G85" s="79">
        <f t="shared" si="15"/>
        <v>228.23423</v>
      </c>
      <c r="H85" s="57">
        <v>2.9487499999999996E-2</v>
      </c>
      <c r="I85" s="79">
        <f>+F85*H85</f>
        <v>6.7300568571249988</v>
      </c>
      <c r="J85" s="79">
        <f>+H85*G85</f>
        <v>6.7300568571249988</v>
      </c>
      <c r="K85" s="94"/>
      <c r="L85" s="94"/>
      <c r="M85" s="6">
        <f>+IF(H85&lt;15%,1,IF(H85&lt;30%,2,IF(H85&lt;50%,3,4)))</f>
        <v>1</v>
      </c>
      <c r="N85" s="95"/>
      <c r="O85" s="125"/>
      <c r="P85" s="125"/>
      <c r="Q85" s="125"/>
      <c r="R85" s="129"/>
      <c r="S85" s="125"/>
      <c r="T85" s="95"/>
      <c r="U85" s="95"/>
      <c r="V85" s="95"/>
      <c r="W85" s="95"/>
      <c r="X85" s="95"/>
      <c r="Y85" s="95"/>
      <c r="Z85" s="95"/>
    </row>
    <row r="86" spans="1:26" ht="15" customHeight="1" outlineLevel="1" x14ac:dyDescent="0.25">
      <c r="A86" s="55" t="s">
        <v>70</v>
      </c>
      <c r="B86" s="79">
        <v>77.845938129366232</v>
      </c>
      <c r="C86" s="79"/>
      <c r="D86" s="79"/>
      <c r="E86" s="79">
        <f>+B86+C86-D86</f>
        <v>77.845938129366232</v>
      </c>
      <c r="F86" s="79">
        <f t="shared" si="15"/>
        <v>77.845938129366232</v>
      </c>
      <c r="G86" s="79">
        <f t="shared" si="15"/>
        <v>77.845938129366232</v>
      </c>
      <c r="H86" s="57">
        <v>7.2099999999999997E-2</v>
      </c>
      <c r="I86" s="79">
        <f>+F86*H86</f>
        <v>5.6126921391273052</v>
      </c>
      <c r="J86" s="79">
        <f>+H86*G86</f>
        <v>5.6126921391273052</v>
      </c>
      <c r="K86" s="94"/>
      <c r="L86" s="94"/>
      <c r="M86" s="6">
        <f>+IF(H86&lt;15%,1,IF(H86&lt;30%,2,IF(H86&lt;50%,3,4)))</f>
        <v>1</v>
      </c>
      <c r="O86" s="125"/>
      <c r="P86" s="125"/>
      <c r="Q86" s="125"/>
      <c r="R86" s="126"/>
      <c r="S86" s="125"/>
    </row>
    <row r="87" spans="1:26" ht="14.25" customHeight="1" outlineLevel="1" x14ac:dyDescent="0.25">
      <c r="A87" s="55" t="s">
        <v>101</v>
      </c>
      <c r="B87" s="56">
        <v>3.1311750000000003</v>
      </c>
      <c r="C87" s="56">
        <v>2.5684640999999994E-2</v>
      </c>
      <c r="D87" s="56">
        <v>1.9104321369999997</v>
      </c>
      <c r="E87" s="56">
        <f>B87+C87-D87</f>
        <v>1.2464275040000004</v>
      </c>
      <c r="F87" s="56">
        <f>E87</f>
        <v>1.2464275040000004</v>
      </c>
      <c r="G87" s="56">
        <f>IF(B87&gt;E87,F87,F87*B87/E87)</f>
        <v>1.2464275040000004</v>
      </c>
      <c r="H87" s="71">
        <v>0.17</v>
      </c>
      <c r="I87" s="56">
        <f>F87*H87</f>
        <v>0.21189267568000009</v>
      </c>
      <c r="J87" s="56">
        <f>G87*H87</f>
        <v>0.21189267568000009</v>
      </c>
      <c r="K87" s="94"/>
      <c r="L87" s="94"/>
      <c r="M87" s="6">
        <f>+IF(H87&lt;15%,1,IF(H87&lt;30%,2,IF(H87&lt;50%,3,4)))</f>
        <v>2</v>
      </c>
      <c r="O87" s="125"/>
      <c r="P87" s="125"/>
      <c r="Q87" s="125"/>
      <c r="R87" s="126"/>
      <c r="S87" s="125"/>
    </row>
    <row r="88" spans="1:26" ht="12.75" customHeight="1" x14ac:dyDescent="0.25">
      <c r="A88" s="80"/>
      <c r="B88" s="21"/>
      <c r="C88" s="21"/>
      <c r="D88" s="21"/>
      <c r="E88" s="21"/>
      <c r="F88" s="22"/>
      <c r="G88" s="22"/>
      <c r="H88" s="23"/>
      <c r="I88" s="24"/>
      <c r="J88" s="25"/>
      <c r="K88" s="26"/>
      <c r="L88" s="26"/>
      <c r="M88" s="6"/>
      <c r="O88" s="125"/>
      <c r="P88" s="125"/>
      <c r="Q88" s="125"/>
      <c r="R88" s="126"/>
      <c r="S88" s="125"/>
    </row>
    <row r="89" spans="1:26" ht="36.75" customHeight="1" x14ac:dyDescent="0.25">
      <c r="A89" s="27" t="s">
        <v>72</v>
      </c>
      <c r="B89" s="28"/>
      <c r="C89" s="28"/>
      <c r="D89" s="28"/>
      <c r="E89" s="28"/>
      <c r="F89" s="82"/>
      <c r="G89" s="82"/>
      <c r="H89" s="30"/>
      <c r="I89" s="82">
        <f>+I74+I82+I34+I6</f>
        <v>70.281213690616624</v>
      </c>
      <c r="J89" s="82">
        <f>+J74+J82+J34+J6</f>
        <v>53.009080343069613</v>
      </c>
      <c r="K89" s="31">
        <f>IF(I89=0,0,J89/I89)</f>
        <v>0.75424252882740062</v>
      </c>
      <c r="L89" s="31"/>
      <c r="M89" s="6"/>
      <c r="O89" s="125"/>
      <c r="P89" s="125"/>
      <c r="Q89" s="125"/>
      <c r="R89" s="126"/>
      <c r="S89" s="126"/>
    </row>
    <row r="90" spans="1:26" x14ac:dyDescent="0.25">
      <c r="A90" s="97" t="s">
        <v>73</v>
      </c>
      <c r="B90" s="98"/>
      <c r="C90" s="98"/>
      <c r="D90" s="98"/>
      <c r="E90" s="98"/>
      <c r="F90" s="98"/>
      <c r="G90" s="98"/>
      <c r="H90" s="99"/>
      <c r="I90" s="5"/>
      <c r="J90" s="5"/>
      <c r="K90" s="5"/>
      <c r="L90" s="5"/>
      <c r="M90" s="6"/>
    </row>
    <row r="91" spans="1:26" x14ac:dyDescent="0.25">
      <c r="A91" s="100" t="s">
        <v>74</v>
      </c>
      <c r="B91" s="101"/>
      <c r="C91" s="102"/>
      <c r="D91" s="102"/>
      <c r="E91" s="103"/>
      <c r="F91" s="103"/>
      <c r="G91" s="103"/>
      <c r="H91" s="104">
        <v>1</v>
      </c>
      <c r="I91" s="105">
        <f t="shared" ref="I91:J94" si="16">+SUMIF($M$7:$M$89,$H91,I$7:I$89)</f>
        <v>44.339149713409846</v>
      </c>
      <c r="J91" s="105">
        <f t="shared" si="16"/>
        <v>42.106428199685041</v>
      </c>
      <c r="K91" s="106">
        <f>+J91/I91</f>
        <v>0.94964446706451966</v>
      </c>
      <c r="L91" s="5"/>
      <c r="M91" s="6"/>
    </row>
    <row r="92" spans="1:26" x14ac:dyDescent="0.25">
      <c r="A92" s="107" t="s">
        <v>75</v>
      </c>
      <c r="B92" s="108"/>
      <c r="C92" s="109"/>
      <c r="D92" s="109"/>
      <c r="E92" s="110"/>
      <c r="F92" s="110"/>
      <c r="G92" s="110"/>
      <c r="H92" s="111">
        <v>2</v>
      </c>
      <c r="I92" s="112">
        <f t="shared" si="16"/>
        <v>4.3831296718551949</v>
      </c>
      <c r="J92" s="112">
        <f t="shared" si="16"/>
        <v>3.7006399703792465</v>
      </c>
      <c r="K92" s="113">
        <f>+J92/I92</f>
        <v>0.84429169279240623</v>
      </c>
      <c r="L92" s="5"/>
      <c r="M92" s="6"/>
    </row>
    <row r="93" spans="1:26" x14ac:dyDescent="0.25">
      <c r="A93" s="114" t="s">
        <v>76</v>
      </c>
      <c r="B93" s="110"/>
      <c r="C93" s="110"/>
      <c r="D93" s="110"/>
      <c r="E93" s="110"/>
      <c r="F93" s="110"/>
      <c r="G93" s="110"/>
      <c r="H93" s="115">
        <v>3</v>
      </c>
      <c r="I93" s="112">
        <f t="shared" si="16"/>
        <v>19.596119649919533</v>
      </c>
      <c r="J93" s="112">
        <f t="shared" si="16"/>
        <v>5.557829797799501</v>
      </c>
      <c r="K93" s="113">
        <f>+J93/I93</f>
        <v>0.28361889481636854</v>
      </c>
      <c r="L93" s="5"/>
      <c r="M93" s="6"/>
    </row>
    <row r="94" spans="1:26" x14ac:dyDescent="0.25">
      <c r="A94" s="116" t="s">
        <v>77</v>
      </c>
      <c r="B94" s="117"/>
      <c r="C94" s="117"/>
      <c r="D94" s="117"/>
      <c r="E94" s="117"/>
      <c r="F94" s="117"/>
      <c r="G94" s="117"/>
      <c r="H94" s="118">
        <v>4</v>
      </c>
      <c r="I94" s="119">
        <f t="shared" si="16"/>
        <v>1.9628146554320602</v>
      </c>
      <c r="J94" s="119">
        <f t="shared" si="16"/>
        <v>1.6441823752058178</v>
      </c>
      <c r="K94" s="120">
        <f>+J94/I94</f>
        <v>0.83766563014779194</v>
      </c>
      <c r="L94" s="5"/>
      <c r="M94" s="6"/>
    </row>
    <row r="95" spans="1:26" ht="25.5" customHeight="1" x14ac:dyDescent="0.25">
      <c r="A95" s="303" t="s">
        <v>78</v>
      </c>
      <c r="B95" s="304"/>
      <c r="C95" s="304"/>
      <c r="D95" s="304"/>
      <c r="E95" s="304"/>
      <c r="F95" s="304"/>
      <c r="G95" s="304"/>
      <c r="H95" s="304"/>
      <c r="I95" s="304"/>
      <c r="J95" s="304"/>
      <c r="K95" s="304"/>
      <c r="L95" s="304"/>
      <c r="M95" s="6"/>
    </row>
    <row r="96" spans="1:26" x14ac:dyDescent="0.25">
      <c r="A96" s="5"/>
      <c r="B96" s="98"/>
      <c r="C96" s="98"/>
      <c r="D96" s="98"/>
      <c r="E96" s="98"/>
      <c r="F96" s="98"/>
      <c r="G96" s="98"/>
      <c r="H96" s="99"/>
      <c r="I96" s="5"/>
      <c r="J96" s="5"/>
      <c r="K96" s="5"/>
      <c r="L96" s="5"/>
      <c r="M96" s="6"/>
    </row>
  </sheetData>
  <mergeCells count="4">
    <mergeCell ref="B3:G3"/>
    <mergeCell ref="H3:H4"/>
    <mergeCell ref="I3:J3"/>
    <mergeCell ref="A95:L95"/>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B96"/>
  <sheetViews>
    <sheetView zoomScale="80" zoomScaleNormal="80" workbookViewId="0"/>
  </sheetViews>
  <sheetFormatPr defaultRowHeight="15" outlineLevelRow="2" outlineLevelCol="1" x14ac:dyDescent="0.25"/>
  <cols>
    <col min="1" max="1" width="46.42578125" customWidth="1"/>
    <col min="2" max="2" width="12.7109375" style="121" customWidth="1" outlineLevel="1"/>
    <col min="3" max="3" width="10.28515625" style="121" customWidth="1" outlineLevel="1"/>
    <col min="4" max="4" width="10.85546875" style="121" customWidth="1" outlineLevel="1"/>
    <col min="5" max="5" width="11" style="121" customWidth="1" outlineLevel="1"/>
    <col min="6" max="6" width="15.42578125" style="121" customWidth="1"/>
    <col min="7" max="7" width="14.85546875" style="121" customWidth="1"/>
    <col min="8" max="8" width="11.140625" style="122" customWidth="1"/>
    <col min="9" max="11" width="12.28515625" customWidth="1"/>
    <col min="12" max="12" width="11.42578125" customWidth="1"/>
    <col min="13" max="13" width="11.42578125" style="123" customWidth="1"/>
    <col min="14" max="14" width="11.85546875" customWidth="1"/>
    <col min="17" max="17" width="12.42578125" customWidth="1"/>
  </cols>
  <sheetData>
    <row r="1" spans="1:17" s="126" customFormat="1" x14ac:dyDescent="0.25">
      <c r="A1" s="1" t="str">
        <f>"Updated on " &amp; TEXT(Updates!B2,"[$-0809]dd mmm yyyy")</f>
        <v>Updated on 11 Nov 2022</v>
      </c>
      <c r="B1" s="130"/>
      <c r="C1" s="130"/>
      <c r="D1" s="130"/>
      <c r="E1" s="130"/>
      <c r="F1" s="130"/>
      <c r="G1" s="130"/>
      <c r="H1" s="131"/>
      <c r="I1" s="132"/>
      <c r="J1" s="132"/>
      <c r="K1" s="132"/>
      <c r="L1" s="35"/>
      <c r="M1" s="133"/>
    </row>
    <row r="2" spans="1:17" ht="45" x14ac:dyDescent="0.25">
      <c r="A2" s="8" t="s">
        <v>80</v>
      </c>
      <c r="B2" s="9"/>
      <c r="C2" s="9"/>
      <c r="D2" s="9"/>
      <c r="E2" s="9"/>
      <c r="F2" s="9"/>
      <c r="G2" s="9"/>
      <c r="H2" s="9"/>
      <c r="I2" s="9"/>
      <c r="J2" s="9"/>
      <c r="K2" s="9"/>
      <c r="L2" s="5"/>
      <c r="M2" s="6"/>
    </row>
    <row r="3" spans="1:17" ht="44.25" customHeight="1" x14ac:dyDescent="0.25">
      <c r="A3" s="10" t="s">
        <v>102</v>
      </c>
      <c r="B3" s="305" t="s">
        <v>2</v>
      </c>
      <c r="C3" s="306"/>
      <c r="D3" s="306"/>
      <c r="E3" s="306"/>
      <c r="F3" s="306"/>
      <c r="G3" s="307"/>
      <c r="H3" s="308" t="s">
        <v>3</v>
      </c>
      <c r="I3" s="301" t="s">
        <v>4</v>
      </c>
      <c r="J3" s="302"/>
      <c r="K3" s="11"/>
      <c r="L3" s="12"/>
      <c r="M3" s="6"/>
    </row>
    <row r="4" spans="1:17" ht="50.25" customHeight="1" x14ac:dyDescent="0.25">
      <c r="A4" s="14" t="s">
        <v>6</v>
      </c>
      <c r="B4" s="15" t="s">
        <v>7</v>
      </c>
      <c r="C4" s="15" t="s">
        <v>8</v>
      </c>
      <c r="D4" s="16" t="s">
        <v>9</v>
      </c>
      <c r="E4" s="16" t="s">
        <v>10</v>
      </c>
      <c r="F4" s="16" t="s">
        <v>11</v>
      </c>
      <c r="G4" s="16" t="s">
        <v>12</v>
      </c>
      <c r="H4" s="309"/>
      <c r="I4" s="17" t="s">
        <v>13</v>
      </c>
      <c r="J4" s="17" t="s">
        <v>14</v>
      </c>
      <c r="K4" s="16" t="s">
        <v>15</v>
      </c>
      <c r="L4" s="15" t="s">
        <v>16</v>
      </c>
      <c r="M4" s="6"/>
    </row>
    <row r="5" spans="1:17" ht="10.5" customHeight="1" x14ac:dyDescent="0.25">
      <c r="A5" s="20"/>
      <c r="B5" s="21"/>
      <c r="C5" s="21"/>
      <c r="D5" s="21"/>
      <c r="E5" s="21"/>
      <c r="F5" s="22"/>
      <c r="G5" s="22"/>
      <c r="H5" s="23"/>
      <c r="I5" s="24"/>
      <c r="J5" s="25"/>
      <c r="K5" s="26"/>
      <c r="L5" s="26"/>
      <c r="M5" s="6"/>
    </row>
    <row r="6" spans="1:17" ht="36" customHeight="1" x14ac:dyDescent="0.25">
      <c r="A6" s="27" t="s">
        <v>18</v>
      </c>
      <c r="B6" s="28"/>
      <c r="C6" s="28"/>
      <c r="D6" s="28"/>
      <c r="E6" s="28"/>
      <c r="F6" s="29">
        <f>F9+F21+F27</f>
        <v>166.71481071478286</v>
      </c>
      <c r="G6" s="29">
        <f>G9+G21+G27</f>
        <v>148.37115065537458</v>
      </c>
      <c r="H6" s="30"/>
      <c r="I6" s="30">
        <f>I9+I21+I27</f>
        <v>17.1539407712337</v>
      </c>
      <c r="J6" s="30">
        <f>J9+J21+J27</f>
        <v>15.420257126814498</v>
      </c>
      <c r="K6" s="31">
        <f>J6/I6</f>
        <v>0.89893379792202022</v>
      </c>
      <c r="L6" s="31">
        <f>+I6/$I$89</f>
        <v>0.23350555264403686</v>
      </c>
      <c r="M6" s="6"/>
    </row>
    <row r="7" spans="1:17" ht="8.25" customHeight="1" x14ac:dyDescent="0.25">
      <c r="A7" s="20"/>
      <c r="B7" s="21"/>
      <c r="C7" s="21"/>
      <c r="D7" s="21"/>
      <c r="E7" s="21"/>
      <c r="F7" s="22"/>
      <c r="G7" s="22"/>
      <c r="H7" s="23"/>
      <c r="I7" s="24"/>
      <c r="J7" s="25"/>
      <c r="K7" s="26"/>
      <c r="L7" s="26"/>
      <c r="M7" s="6"/>
    </row>
    <row r="8" spans="1:17" ht="8.25" hidden="1" customHeight="1" x14ac:dyDescent="0.25">
      <c r="A8" s="38"/>
      <c r="B8" s="39"/>
      <c r="C8" s="39"/>
      <c r="D8" s="39"/>
      <c r="E8" s="39"/>
      <c r="F8" s="40"/>
      <c r="G8" s="40"/>
      <c r="H8" s="41"/>
      <c r="I8" s="42"/>
      <c r="J8" s="43"/>
      <c r="K8" s="44"/>
      <c r="L8" s="45"/>
      <c r="M8" s="6"/>
    </row>
    <row r="9" spans="1:17" ht="22.5" customHeight="1" outlineLevel="1" x14ac:dyDescent="0.25">
      <c r="A9" s="48" t="s">
        <v>83</v>
      </c>
      <c r="B9" s="49">
        <f>SUM(B11:B19)</f>
        <v>287.14948050857845</v>
      </c>
      <c r="C9" s="49">
        <f t="shared" ref="C9:J9" si="0">SUM(C11:C19)</f>
        <v>23.445018278000003</v>
      </c>
      <c r="D9" s="49">
        <f t="shared" si="0"/>
        <v>51.363977105999993</v>
      </c>
      <c r="E9" s="49">
        <f t="shared" si="0"/>
        <v>259.23052168057848</v>
      </c>
      <c r="F9" s="49">
        <f t="shared" si="0"/>
        <v>161.3533679181887</v>
      </c>
      <c r="G9" s="49">
        <f t="shared" si="0"/>
        <v>143.37609473302388</v>
      </c>
      <c r="H9" s="50"/>
      <c r="I9" s="50">
        <f t="shared" si="0"/>
        <v>15.740507594000759</v>
      </c>
      <c r="J9" s="50">
        <f t="shared" si="0"/>
        <v>14.118397910620494</v>
      </c>
      <c r="K9" s="51">
        <f>J9/I9</f>
        <v>0.89694679960648127</v>
      </c>
      <c r="L9" s="51">
        <f>+I9/$I$89</f>
        <v>0.21426539671854461</v>
      </c>
      <c r="M9" s="6"/>
      <c r="N9" s="52"/>
      <c r="O9" s="52"/>
      <c r="P9" s="52"/>
      <c r="Q9" s="52"/>
    </row>
    <row r="10" spans="1:17" ht="15" customHeight="1" outlineLevel="1" x14ac:dyDescent="0.25">
      <c r="A10" s="20"/>
      <c r="B10" s="21"/>
      <c r="C10" s="21"/>
      <c r="D10" s="21"/>
      <c r="E10" s="21"/>
      <c r="F10" s="22"/>
      <c r="G10" s="22"/>
      <c r="H10" s="23"/>
      <c r="I10" s="24"/>
      <c r="J10" s="25"/>
      <c r="K10" s="26"/>
      <c r="L10" s="26"/>
      <c r="M10" s="6"/>
      <c r="N10" s="52"/>
      <c r="O10" s="52"/>
      <c r="P10" s="52"/>
      <c r="Q10" s="52"/>
    </row>
    <row r="11" spans="1:17" ht="15" customHeight="1" outlineLevel="1" x14ac:dyDescent="0.25">
      <c r="A11" s="55" t="str">
        <f>+'data from cereal masterfile'!A3</f>
        <v>Common  wheat</v>
      </c>
      <c r="B11" s="56">
        <f>+'data from cereal masterfile'!H3</f>
        <v>135.04485937799998</v>
      </c>
      <c r="C11" s="56">
        <f>+'data from cereal masterfile'!H15</f>
        <v>5.7491591840000007</v>
      </c>
      <c r="D11" s="56">
        <f>+'data from cereal masterfile'!H27</f>
        <v>33.112226907999997</v>
      </c>
      <c r="E11" s="56">
        <f>+B11+C11-D11</f>
        <v>107.68179165399999</v>
      </c>
      <c r="F11" s="56">
        <f>+'data from cereal masterfile'!H39</f>
        <v>48.358999999999995</v>
      </c>
      <c r="G11" s="56">
        <f>IF(B11&gt;E11,F11,F11*B11/E11)-C11</f>
        <v>42.609840815999995</v>
      </c>
      <c r="H11" s="57">
        <v>0.11</v>
      </c>
      <c r="I11" s="58">
        <f>F11*H11</f>
        <v>5.3194899999999992</v>
      </c>
      <c r="J11" s="58">
        <f>G11*H11</f>
        <v>4.6870824897599999</v>
      </c>
      <c r="K11" s="26"/>
      <c r="L11" s="26"/>
      <c r="M11" s="6">
        <f>+IF(H11&lt;15%,1,IF(H11&lt;30%,2,IF(H11&lt;50%,3,4)))</f>
        <v>1</v>
      </c>
      <c r="N11" s="73"/>
      <c r="O11" s="72"/>
      <c r="P11" s="52"/>
      <c r="Q11" s="52"/>
    </row>
    <row r="12" spans="1:17" ht="15" customHeight="1" outlineLevel="1" x14ac:dyDescent="0.25">
      <c r="A12" s="55" t="str">
        <f>+'data from cereal masterfile'!A4</f>
        <v>Barley</v>
      </c>
      <c r="B12" s="56">
        <f>+'data from cereal masterfile'!H4</f>
        <v>54.142513304999994</v>
      </c>
      <c r="C12" s="56">
        <f>+'data from cereal masterfile'!H16</f>
        <v>1.3834457150000001</v>
      </c>
      <c r="D12" s="56">
        <f>+'data from cereal masterfile'!H28</f>
        <v>13.481520514</v>
      </c>
      <c r="E12" s="56">
        <f t="shared" ref="E12:E19" si="1">+B12+C12-D12</f>
        <v>42.044438505999992</v>
      </c>
      <c r="F12" s="56">
        <f>+'data from cereal masterfile'!H40</f>
        <v>33.007287699999999</v>
      </c>
      <c r="G12" s="56">
        <f>IF(B12&gt;E12,F12,F12*B12/E12)</f>
        <v>33.007287699999999</v>
      </c>
      <c r="H12" s="57">
        <v>0.1</v>
      </c>
      <c r="I12" s="58">
        <f t="shared" ref="I12:I19" si="2">F12*H12</f>
        <v>3.3007287700000001</v>
      </c>
      <c r="J12" s="58">
        <f t="shared" ref="J12:J19" si="3">G12*H12</f>
        <v>3.3007287700000001</v>
      </c>
      <c r="K12" s="26"/>
      <c r="L12" s="26"/>
      <c r="M12" s="6">
        <f t="shared" ref="M12:M19" si="4">+IF(H12&lt;15%,1,IF(H12&lt;30%,2,IF(H12&lt;50%,3,4)))</f>
        <v>1</v>
      </c>
      <c r="N12" s="73"/>
      <c r="O12" s="72"/>
      <c r="P12" s="52"/>
      <c r="Q12" s="52"/>
    </row>
    <row r="13" spans="1:17" ht="15" customHeight="1" outlineLevel="1" x14ac:dyDescent="0.25">
      <c r="A13" s="55" t="str">
        <f>+'data from cereal masterfile'!A5</f>
        <v>Durum</v>
      </c>
      <c r="B13" s="56">
        <f>+'data from cereal masterfile'!H5</f>
        <v>8.3003910649999995</v>
      </c>
      <c r="C13" s="56">
        <f>+'data from cereal masterfile'!H17</f>
        <v>2.7029510290000003</v>
      </c>
      <c r="D13" s="56">
        <f>+'data from cereal masterfile'!H29</f>
        <v>1.238122476</v>
      </c>
      <c r="E13" s="56">
        <f t="shared" si="1"/>
        <v>9.7652196179999997</v>
      </c>
      <c r="F13" s="56">
        <f>+'data from cereal masterfile'!H41</f>
        <v>0.6</v>
      </c>
      <c r="G13" s="56">
        <f>IF(B13&gt;E13,F13,F13*B13/E13)</f>
        <v>0.5099971975868367</v>
      </c>
      <c r="H13" s="57">
        <v>0.12</v>
      </c>
      <c r="I13" s="58">
        <f t="shared" si="2"/>
        <v>7.1999999999999995E-2</v>
      </c>
      <c r="J13" s="58">
        <f t="shared" si="3"/>
        <v>6.1199663710420404E-2</v>
      </c>
      <c r="K13" s="26"/>
      <c r="L13" s="26"/>
      <c r="M13" s="6">
        <f t="shared" si="4"/>
        <v>1</v>
      </c>
      <c r="N13" s="73"/>
      <c r="O13" s="72"/>
      <c r="P13" s="52"/>
      <c r="Q13" s="52"/>
    </row>
    <row r="14" spans="1:17" ht="15" customHeight="1" outlineLevel="1" x14ac:dyDescent="0.25">
      <c r="A14" s="55" t="str">
        <f>+'data from cereal masterfile'!A6</f>
        <v>Maize</v>
      </c>
      <c r="B14" s="56">
        <f>+'data from cereal masterfile'!H6</f>
        <v>58.989768006000013</v>
      </c>
      <c r="C14" s="56">
        <f>+'data from cereal masterfile'!H18</f>
        <v>13.195940556</v>
      </c>
      <c r="D14" s="56">
        <f>+'data from cereal masterfile'!H30</f>
        <v>3.0588163320000001</v>
      </c>
      <c r="E14" s="56">
        <f t="shared" si="1"/>
        <v>69.12689223000001</v>
      </c>
      <c r="F14" s="56">
        <f>+'data from cereal masterfile'!H42</f>
        <v>56.143000000000001</v>
      </c>
      <c r="G14" s="56">
        <f>F14-C14*0.9</f>
        <v>44.266653499599997</v>
      </c>
      <c r="H14" s="57">
        <v>0.08</v>
      </c>
      <c r="I14" s="58">
        <f t="shared" si="2"/>
        <v>4.4914399999999999</v>
      </c>
      <c r="J14" s="58">
        <f t="shared" si="3"/>
        <v>3.5413322799679996</v>
      </c>
      <c r="K14" s="26"/>
      <c r="L14" s="26"/>
      <c r="M14" s="6">
        <f t="shared" si="4"/>
        <v>1</v>
      </c>
      <c r="N14" s="73"/>
      <c r="O14" s="72"/>
      <c r="P14" s="52"/>
      <c r="Q14" s="52"/>
    </row>
    <row r="15" spans="1:17" ht="15" customHeight="1" outlineLevel="1" x14ac:dyDescent="0.25">
      <c r="A15" s="55" t="str">
        <f>+'data from cereal masterfile'!A7</f>
        <v>Rye</v>
      </c>
      <c r="B15" s="56">
        <f>+'data from cereal masterfile'!H7</f>
        <v>7.5687112743092388</v>
      </c>
      <c r="C15" s="56">
        <f>+'data from cereal masterfile'!H19</f>
        <v>5.1398922999999999E-2</v>
      </c>
      <c r="D15" s="56">
        <f>+'data from cereal masterfile'!H31</f>
        <v>0.18242456899999998</v>
      </c>
      <c r="E15" s="56">
        <f t="shared" si="1"/>
        <v>7.4376856283092385</v>
      </c>
      <c r="F15" s="56">
        <f>+'data from cereal masterfile'!H43</f>
        <v>2.9958641008263491</v>
      </c>
      <c r="G15" s="56">
        <f>IF(B15&gt;E15,F15,F15*B15/(B15+C15-D15))</f>
        <v>2.9958641008263491</v>
      </c>
      <c r="H15" s="57">
        <v>0.11</v>
      </c>
      <c r="I15" s="58">
        <f t="shared" si="2"/>
        <v>0.32954505109089843</v>
      </c>
      <c r="J15" s="58">
        <f t="shared" si="3"/>
        <v>0.32954505109089843</v>
      </c>
      <c r="K15" s="26"/>
      <c r="L15" s="26"/>
      <c r="M15" s="6">
        <f t="shared" si="4"/>
        <v>1</v>
      </c>
      <c r="N15" s="73"/>
      <c r="O15" s="72"/>
      <c r="P15" s="52"/>
      <c r="Q15" s="52"/>
    </row>
    <row r="16" spans="1:17" ht="15" customHeight="1" outlineLevel="1" x14ac:dyDescent="0.25">
      <c r="A16" s="55" t="str">
        <f>+'data from cereal masterfile'!A8</f>
        <v>Sorghum</v>
      </c>
      <c r="B16" s="56">
        <f>+'data from cereal masterfile'!H8</f>
        <v>0.68414249999999988</v>
      </c>
      <c r="C16" s="56">
        <f>+'data from cereal masterfile'!H20</f>
        <v>0.1152343</v>
      </c>
      <c r="D16" s="56">
        <f>+'data from cereal masterfile'!H32</f>
        <v>1.3018013E-2</v>
      </c>
      <c r="E16" s="56">
        <f t="shared" si="1"/>
        <v>0.78635878699999984</v>
      </c>
      <c r="F16" s="56">
        <f>+'data from cereal masterfile'!H44</f>
        <v>0.65141330647093199</v>
      </c>
      <c r="G16" s="56">
        <f>IF(B16&gt;E16,F16,F16*B16/(B16+C16-D16))</f>
        <v>0.56673815488538515</v>
      </c>
      <c r="H16" s="57">
        <v>0.11</v>
      </c>
      <c r="I16" s="58">
        <f t="shared" si="2"/>
        <v>7.1655463711802522E-2</v>
      </c>
      <c r="J16" s="58">
        <f t="shared" si="3"/>
        <v>6.2341197037392368E-2</v>
      </c>
      <c r="K16" s="26"/>
      <c r="L16" s="26"/>
      <c r="M16" s="6">
        <f t="shared" si="4"/>
        <v>1</v>
      </c>
      <c r="N16" s="73"/>
      <c r="O16" s="72"/>
      <c r="P16" s="52"/>
      <c r="Q16" s="52"/>
    </row>
    <row r="17" spans="1:17" ht="15" customHeight="1" outlineLevel="1" x14ac:dyDescent="0.25">
      <c r="A17" s="55" t="str">
        <f>+'data from cereal masterfile'!A9</f>
        <v>Oats</v>
      </c>
      <c r="B17" s="56">
        <f>+'data from cereal masterfile'!H9</f>
        <v>6.7089408400000003</v>
      </c>
      <c r="C17" s="56">
        <f>+'data from cereal masterfile'!H21</f>
        <v>7.3623645000000001E-2</v>
      </c>
      <c r="D17" s="56">
        <f>+'data from cereal masterfile'!H33</f>
        <v>0.25832807400000002</v>
      </c>
      <c r="E17" s="56">
        <f t="shared" si="1"/>
        <v>6.5242364110000004</v>
      </c>
      <c r="F17" s="56">
        <f>+'data from cereal masterfile'!H45</f>
        <v>4.6921595850967197</v>
      </c>
      <c r="G17" s="56">
        <f>IF(B17&gt;E17,F17,F17*B17/(B17+C17-D17))</f>
        <v>4.6921595850967197</v>
      </c>
      <c r="H17" s="57">
        <v>0.11</v>
      </c>
      <c r="I17" s="58">
        <f t="shared" si="2"/>
        <v>0.51613755436063913</v>
      </c>
      <c r="J17" s="58">
        <f t="shared" si="3"/>
        <v>0.51613755436063913</v>
      </c>
      <c r="K17" s="26"/>
      <c r="L17" s="26"/>
      <c r="M17" s="6">
        <f t="shared" si="4"/>
        <v>1</v>
      </c>
      <c r="N17" s="73"/>
      <c r="O17" s="72"/>
      <c r="P17" s="52"/>
      <c r="Q17" s="52"/>
    </row>
    <row r="18" spans="1:17" ht="15" customHeight="1" outlineLevel="1" x14ac:dyDescent="0.25">
      <c r="A18" s="55" t="str">
        <f>+'data from cereal masterfile'!A10</f>
        <v>Triticale</v>
      </c>
      <c r="B18" s="56">
        <f>+'data from cereal masterfile'!H10</f>
        <v>12.422274199999999</v>
      </c>
      <c r="C18" s="56">
        <f>+'data from cereal masterfile'!H22</f>
        <v>1.0874599999999999E-4</v>
      </c>
      <c r="D18" s="56">
        <f>+'data from cereal masterfile'!H34</f>
        <v>2.5647220000000002E-3</v>
      </c>
      <c r="E18" s="56">
        <f t="shared" si="1"/>
        <v>12.419818223999998</v>
      </c>
      <c r="F18" s="56">
        <f>+'data from cereal masterfile'!H46</f>
        <v>10.999982448297382</v>
      </c>
      <c r="G18" s="56">
        <f>IF(B18&gt;E18,F18,F18*B18/(B18+C18-D18))</f>
        <v>10.999982448297382</v>
      </c>
      <c r="H18" s="57">
        <v>0.11</v>
      </c>
      <c r="I18" s="58">
        <f t="shared" si="2"/>
        <v>1.2099980693127121</v>
      </c>
      <c r="J18" s="58">
        <f t="shared" si="3"/>
        <v>1.2099980693127121</v>
      </c>
      <c r="K18" s="26"/>
      <c r="L18" s="26"/>
      <c r="M18" s="6">
        <f t="shared" si="4"/>
        <v>1</v>
      </c>
      <c r="N18" s="73"/>
      <c r="O18" s="72"/>
      <c r="P18" s="52"/>
      <c r="Q18" s="52"/>
    </row>
    <row r="19" spans="1:17" ht="15" customHeight="1" outlineLevel="1" x14ac:dyDescent="0.25">
      <c r="A19" s="55" t="str">
        <f>+'data from cereal masterfile'!A11</f>
        <v>Others</v>
      </c>
      <c r="B19" s="56">
        <f>+'data from cereal masterfile'!H11</f>
        <v>3.2878799402692169</v>
      </c>
      <c r="C19" s="56">
        <f>+'data from cereal masterfile'!H23</f>
        <v>0.17315617999999999</v>
      </c>
      <c r="D19" s="56">
        <f>+'data from cereal masterfile'!H35</f>
        <v>1.6955497999999999E-2</v>
      </c>
      <c r="E19" s="56">
        <f t="shared" si="1"/>
        <v>3.4440806222692166</v>
      </c>
      <c r="F19" s="56">
        <f>+'data from cereal masterfile'!H47</f>
        <v>3.9046607774973396</v>
      </c>
      <c r="G19" s="56">
        <f>IF(B19&gt;E19,F19,F19*B19/(B19+C19-D19))</f>
        <v>3.7275712307311899</v>
      </c>
      <c r="H19" s="57">
        <v>0.11</v>
      </c>
      <c r="I19" s="58">
        <f t="shared" si="2"/>
        <v>0.42951268552470734</v>
      </c>
      <c r="J19" s="58">
        <f t="shared" si="3"/>
        <v>0.41003283538043089</v>
      </c>
      <c r="K19" s="26"/>
      <c r="L19" s="26"/>
      <c r="M19" s="6">
        <f t="shared" si="4"/>
        <v>1</v>
      </c>
      <c r="N19" s="73"/>
      <c r="O19" s="72"/>
      <c r="P19" s="52"/>
      <c r="Q19" s="52"/>
    </row>
    <row r="20" spans="1:17" ht="12.75" customHeight="1" outlineLevel="1" x14ac:dyDescent="0.25">
      <c r="A20" s="20"/>
      <c r="B20" s="21"/>
      <c r="C20" s="21"/>
      <c r="D20" s="21"/>
      <c r="E20" s="21"/>
      <c r="F20" s="22"/>
      <c r="G20" s="22"/>
      <c r="H20" s="23"/>
      <c r="I20" s="24"/>
      <c r="J20" s="25"/>
      <c r="K20" s="26"/>
      <c r="L20" s="26"/>
      <c r="M20" s="6"/>
      <c r="N20" s="52"/>
      <c r="O20" s="52"/>
      <c r="P20" s="52"/>
      <c r="Q20" s="52"/>
    </row>
    <row r="21" spans="1:17" ht="22.5" customHeight="1" outlineLevel="1" x14ac:dyDescent="0.25">
      <c r="A21" s="48" t="s">
        <v>84</v>
      </c>
      <c r="B21" s="49">
        <f t="shared" ref="B21:G21" si="5">SUM(B23:B25)</f>
        <v>32.927679999999995</v>
      </c>
      <c r="C21" s="49">
        <f t="shared" si="5"/>
        <v>18.180107834999998</v>
      </c>
      <c r="D21" s="49">
        <f t="shared" si="5"/>
        <v>1.343944249</v>
      </c>
      <c r="E21" s="49">
        <f t="shared" si="5"/>
        <v>49.763843585999993</v>
      </c>
      <c r="F21" s="49">
        <f t="shared" si="5"/>
        <v>1.6065879999999999</v>
      </c>
      <c r="G21" s="49">
        <f t="shared" si="5"/>
        <v>1.6065879999999999</v>
      </c>
      <c r="H21" s="50"/>
      <c r="I21" s="50">
        <f>SUM(I23:I25)</f>
        <v>0.46413606898000004</v>
      </c>
      <c r="J21" s="50">
        <f>SUM(J23:J25)</f>
        <v>0.46413606898000004</v>
      </c>
      <c r="K21" s="51">
        <f>J21/I21</f>
        <v>1</v>
      </c>
      <c r="L21" s="51">
        <f>+I21/$I$89</f>
        <v>6.3179855133317694E-3</v>
      </c>
      <c r="M21" s="6"/>
      <c r="N21" s="52"/>
      <c r="O21" s="52"/>
      <c r="P21" s="52"/>
      <c r="Q21" s="52"/>
    </row>
    <row r="22" spans="1:17" ht="15" customHeight="1" outlineLevel="1" x14ac:dyDescent="0.25">
      <c r="A22" s="20" t="s">
        <v>85</v>
      </c>
      <c r="B22" s="21"/>
      <c r="C22" s="21"/>
      <c r="D22" s="21"/>
      <c r="E22" s="21"/>
      <c r="F22" s="22"/>
      <c r="G22" s="22"/>
      <c r="H22" s="23"/>
      <c r="I22" s="24"/>
      <c r="J22" s="25"/>
      <c r="K22" s="26"/>
      <c r="L22" s="26"/>
      <c r="M22" s="6"/>
      <c r="N22" s="52"/>
      <c r="O22" s="52"/>
      <c r="P22" s="52"/>
      <c r="Q22" s="52"/>
    </row>
    <row r="23" spans="1:17" ht="15" customHeight="1" outlineLevel="1" x14ac:dyDescent="0.25">
      <c r="A23" s="55" t="s">
        <v>22</v>
      </c>
      <c r="B23" s="56">
        <f>+'data from oilseed masterfile'!V4</f>
        <v>2.6717900000000001</v>
      </c>
      <c r="C23" s="56">
        <f>+'data from oilseed masterfile'!V12</f>
        <v>13.460315695</v>
      </c>
      <c r="D23" s="56">
        <f>+'data from oilseed masterfile'!V16</f>
        <v>0.34074086199999998</v>
      </c>
      <c r="E23" s="56">
        <f>+B23+C23-D23</f>
        <v>15.791364832999999</v>
      </c>
      <c r="F23" s="56">
        <v>1.2</v>
      </c>
      <c r="G23" s="56">
        <f>F23</f>
        <v>1.2</v>
      </c>
      <c r="H23" s="61">
        <v>0.33</v>
      </c>
      <c r="I23" s="58">
        <f>F23*H23</f>
        <v>0.39600000000000002</v>
      </c>
      <c r="J23" s="58">
        <f>G23*H23</f>
        <v>0.39600000000000002</v>
      </c>
      <c r="K23" s="26"/>
      <c r="L23" s="26"/>
      <c r="M23" s="6">
        <f>+IF(H23&lt;15%,1,IF(H23&lt;30%,2,IF(H23&lt;50%,3,4)))</f>
        <v>3</v>
      </c>
      <c r="N23" s="52"/>
      <c r="O23" s="52"/>
      <c r="P23" s="52"/>
      <c r="Q23" s="52"/>
    </row>
    <row r="24" spans="1:17" ht="15" customHeight="1" outlineLevel="1" x14ac:dyDescent="0.25">
      <c r="A24" s="55" t="s">
        <v>23</v>
      </c>
      <c r="B24" s="56">
        <f>+'data from oilseed masterfile'!V5</f>
        <v>19.852979999999995</v>
      </c>
      <c r="C24" s="56">
        <f>+'data from oilseed masterfile'!V13</f>
        <v>4.1582179479999999</v>
      </c>
      <c r="D24" s="56">
        <f>+'data from oilseed masterfile'!V17</f>
        <v>0.32005415799999998</v>
      </c>
      <c r="E24" s="56">
        <f>+B24+C24-D24</f>
        <v>23.691143789999995</v>
      </c>
      <c r="F24" s="56">
        <f>+B24*1%</f>
        <v>0.19852979999999995</v>
      </c>
      <c r="G24" s="56">
        <f>F24</f>
        <v>0.19852979999999995</v>
      </c>
      <c r="H24" s="62">
        <f>H47*0.57</f>
        <v>0.18809999999999999</v>
      </c>
      <c r="I24" s="58">
        <f>F24*H24</f>
        <v>3.7343455379999987E-2</v>
      </c>
      <c r="J24" s="58">
        <f>G24*H24</f>
        <v>3.7343455379999987E-2</v>
      </c>
      <c r="K24" s="26"/>
      <c r="L24" s="26"/>
      <c r="M24" s="6">
        <f>+IF(H24&lt;15%,1,IF(H24&lt;30%,2,IF(H24&lt;50%,3,4)))</f>
        <v>2</v>
      </c>
      <c r="N24" s="52"/>
      <c r="O24" s="52"/>
      <c r="P24" s="52"/>
      <c r="Q24" s="52"/>
    </row>
    <row r="25" spans="1:17" ht="15" customHeight="1" outlineLevel="1" x14ac:dyDescent="0.25">
      <c r="A25" s="55" t="s">
        <v>24</v>
      </c>
      <c r="B25" s="56">
        <f>+'data from oilseed masterfile'!V6</f>
        <v>10.40291</v>
      </c>
      <c r="C25" s="56">
        <f>+'data from oilseed masterfile'!V14</f>
        <v>0.56157419200000003</v>
      </c>
      <c r="D25" s="56">
        <f>+'data from oilseed masterfile'!V18</f>
        <v>0.68314922900000008</v>
      </c>
      <c r="E25" s="56">
        <f>+B25+C25-D25</f>
        <v>10.281334963000001</v>
      </c>
      <c r="F25" s="56">
        <f>+B25*2%</f>
        <v>0.2080582</v>
      </c>
      <c r="G25" s="56">
        <f>F25</f>
        <v>0.2080582</v>
      </c>
      <c r="H25" s="57">
        <v>0.14799999999999999</v>
      </c>
      <c r="I25" s="58">
        <f>F25*H25</f>
        <v>3.0792613599999998E-2</v>
      </c>
      <c r="J25" s="58">
        <f>G25*H25</f>
        <v>3.0792613599999998E-2</v>
      </c>
      <c r="K25" s="26"/>
      <c r="L25" s="26"/>
      <c r="M25" s="6">
        <f>+IF(H25&lt;15%,1,IF(H25&lt;30%,2,IF(H25&lt;50%,3,4)))</f>
        <v>1</v>
      </c>
      <c r="N25" s="52"/>
      <c r="O25" s="52"/>
      <c r="P25" s="52"/>
      <c r="Q25" s="52"/>
    </row>
    <row r="26" spans="1:17" ht="12.75" customHeight="1" outlineLevel="1" x14ac:dyDescent="0.25">
      <c r="A26" s="20"/>
      <c r="B26" s="21"/>
      <c r="C26" s="21"/>
      <c r="D26" s="21"/>
      <c r="E26" s="21"/>
      <c r="F26" s="22"/>
      <c r="G26" s="22"/>
      <c r="H26" s="23"/>
      <c r="I26" s="24"/>
      <c r="J26" s="25"/>
      <c r="K26" s="26"/>
      <c r="L26" s="26"/>
      <c r="M26" s="6"/>
      <c r="N26" s="52"/>
      <c r="O26" s="52"/>
      <c r="P26" s="52"/>
      <c r="Q26" s="52"/>
    </row>
    <row r="27" spans="1:17" ht="20.25" customHeight="1" outlineLevel="1" x14ac:dyDescent="0.25">
      <c r="A27" s="48" t="s">
        <v>86</v>
      </c>
      <c r="B27" s="49">
        <f t="shared" ref="B27:G27" si="6">SUM(B29:B32)</f>
        <v>4.924059999999999</v>
      </c>
      <c r="C27" s="49">
        <f t="shared" si="6"/>
        <v>1.0905204880000001</v>
      </c>
      <c r="D27" s="49">
        <f t="shared" si="6"/>
        <v>0.98754952400000007</v>
      </c>
      <c r="E27" s="49">
        <f t="shared" si="6"/>
        <v>5.0270309639999997</v>
      </c>
      <c r="F27" s="49">
        <f t="shared" si="6"/>
        <v>3.7548547965941745</v>
      </c>
      <c r="G27" s="49">
        <f t="shared" si="6"/>
        <v>3.3884679223507224</v>
      </c>
      <c r="H27" s="50"/>
      <c r="I27" s="50">
        <f>SUM(I29:I32)</f>
        <v>0.94929710825294378</v>
      </c>
      <c r="J27" s="50">
        <f>SUM(J29:J32)</f>
        <v>0.83772314721400365</v>
      </c>
      <c r="K27" s="51">
        <f>J27/I27</f>
        <v>0.88246676402051061</v>
      </c>
      <c r="L27" s="51">
        <f>+I27/$I$89</f>
        <v>1.2922170412160495E-2</v>
      </c>
      <c r="M27" s="6"/>
      <c r="N27" s="52"/>
      <c r="O27" s="52"/>
      <c r="P27" s="52"/>
      <c r="Q27" s="52"/>
    </row>
    <row r="28" spans="1:17" ht="15.75" customHeight="1" outlineLevel="1" x14ac:dyDescent="0.25">
      <c r="A28" s="20"/>
      <c r="B28" s="21"/>
      <c r="C28" s="21"/>
      <c r="D28" s="21"/>
      <c r="E28" s="21"/>
      <c r="F28" s="22"/>
      <c r="G28" s="22"/>
      <c r="H28" s="23"/>
      <c r="I28" s="24"/>
      <c r="J28" s="25"/>
      <c r="K28" s="26"/>
      <c r="L28" s="26"/>
      <c r="M28" s="6"/>
      <c r="N28" s="52"/>
      <c r="O28" s="52"/>
      <c r="P28" s="52"/>
      <c r="Q28" s="52"/>
    </row>
    <row r="29" spans="1:17" ht="15" customHeight="1" outlineLevel="1" x14ac:dyDescent="0.25">
      <c r="A29" s="55" t="s">
        <v>87</v>
      </c>
      <c r="B29" s="56">
        <f>'data from protein balance sheet'!H4</f>
        <v>2.6058799999999995</v>
      </c>
      <c r="C29" s="56">
        <f>'data from protein balance sheet'!H20</f>
        <v>0.417237372</v>
      </c>
      <c r="D29" s="56">
        <f>'data from protein balance sheet'!H28</f>
        <v>0.66815378400000003</v>
      </c>
      <c r="E29" s="56">
        <f>'data from protein balance sheet'!H12</f>
        <v>2.3549635879999995</v>
      </c>
      <c r="F29" s="56">
        <f>'data from protein balance sheet'!H36</f>
        <v>1.8138704231999998</v>
      </c>
      <c r="G29" s="56">
        <f>IF(B29&gt;E29,F29,F29*B29/E29)</f>
        <v>1.8138704231999998</v>
      </c>
      <c r="H29" s="63">
        <v>0.22500000000000001</v>
      </c>
      <c r="I29" s="58">
        <f>F29*H29</f>
        <v>0.40812084521999997</v>
      </c>
      <c r="J29" s="58">
        <f>G29*H29</f>
        <v>0.40812084521999997</v>
      </c>
      <c r="K29" s="26"/>
      <c r="L29" s="26"/>
      <c r="M29" s="6">
        <f>+IF(H29&lt;15%,1,IF(H29&lt;30%,2,IF(H29&lt;50%,3,4)))</f>
        <v>2</v>
      </c>
      <c r="N29" s="52"/>
      <c r="O29" s="52"/>
      <c r="P29" s="52"/>
      <c r="Q29" s="52"/>
    </row>
    <row r="30" spans="1:17" ht="15" customHeight="1" outlineLevel="1" x14ac:dyDescent="0.25">
      <c r="A30" s="55" t="s">
        <v>27</v>
      </c>
      <c r="B30" s="56">
        <f>'data from protein balance sheet'!H5</f>
        <v>1.3825700000000001</v>
      </c>
      <c r="C30" s="56">
        <f>'data from protein balance sheet'!H21</f>
        <v>0.10938927900000002</v>
      </c>
      <c r="D30" s="56">
        <f>'data from protein balance sheet'!H29</f>
        <v>0.29771335600000004</v>
      </c>
      <c r="E30" s="56">
        <f>'data from protein balance sheet'!H13</f>
        <v>1.1942459230000002</v>
      </c>
      <c r="F30" s="56">
        <f>'data from protein balance sheet'!H37</f>
        <v>0.9846931241400001</v>
      </c>
      <c r="G30" s="56">
        <f>IF(B30&gt;E30,F30,F30*B30/E30)</f>
        <v>0.9846931241400001</v>
      </c>
      <c r="H30" s="63">
        <v>0.26</v>
      </c>
      <c r="I30" s="58">
        <f>F30*H30</f>
        <v>0.25602021227640004</v>
      </c>
      <c r="J30" s="58">
        <f>G30*H30</f>
        <v>0.25602021227640004</v>
      </c>
      <c r="K30" s="26"/>
      <c r="L30" s="26"/>
      <c r="M30" s="6">
        <f>+IF(H30&lt;15%,1,IF(H30&lt;30%,2,IF(H30&lt;50%,3,4)))</f>
        <v>2</v>
      </c>
      <c r="N30" s="52"/>
      <c r="O30" s="52"/>
      <c r="P30" s="52"/>
      <c r="Q30" s="52"/>
    </row>
    <row r="31" spans="1:17" ht="15" customHeight="1" outlineLevel="1" x14ac:dyDescent="0.25">
      <c r="A31" s="55" t="s">
        <v>28</v>
      </c>
      <c r="B31" s="56">
        <f>'data from protein balance sheet'!H7</f>
        <v>0.26364000000000004</v>
      </c>
      <c r="C31" s="56">
        <f>'data from protein balance sheet'!H23</f>
        <v>0.20184725699999997</v>
      </c>
      <c r="D31" s="56">
        <f>'data from protein balance sheet'!H31</f>
        <v>1.00493E-4</v>
      </c>
      <c r="E31" s="56">
        <f>'data from protein balance sheet'!H15</f>
        <v>0.46538676399999995</v>
      </c>
      <c r="F31" s="56">
        <f>'data from protein balance sheet'!H39</f>
        <v>0.46083238442999996</v>
      </c>
      <c r="G31" s="56">
        <f>IF(B31&gt;E31,F31,F31*B31/E31)</f>
        <v>0.2610599596492289</v>
      </c>
      <c r="H31" s="61">
        <v>0.35</v>
      </c>
      <c r="I31" s="58">
        <f>F31*H31</f>
        <v>0.16129133455049999</v>
      </c>
      <c r="J31" s="58">
        <f>G31*H31</f>
        <v>9.137098587723011E-2</v>
      </c>
      <c r="K31" s="26"/>
      <c r="L31" s="26"/>
      <c r="M31" s="6">
        <f>+IF(H31&lt;15%,1,IF(H31&lt;30%,2,IF(H31&lt;50%,3,4)))</f>
        <v>3</v>
      </c>
      <c r="N31" s="52"/>
      <c r="O31" s="52"/>
      <c r="P31" s="52"/>
      <c r="Q31" s="52"/>
    </row>
    <row r="32" spans="1:17" ht="15" customHeight="1" outlineLevel="1" x14ac:dyDescent="0.25">
      <c r="A32" s="55" t="s">
        <v>29</v>
      </c>
      <c r="B32" s="56">
        <f>'data from protein balance sheet'!H9</f>
        <v>0.67196999999999985</v>
      </c>
      <c r="C32" s="56">
        <f>'data from protein balance sheet'!H25</f>
        <v>0.36204658000000001</v>
      </c>
      <c r="D32" s="56">
        <f>'data from protein balance sheet'!H33</f>
        <v>2.1581890999999999E-2</v>
      </c>
      <c r="E32" s="56">
        <f>'data from protein balance sheet'!H17</f>
        <v>1.0124346889999998</v>
      </c>
      <c r="F32" s="56">
        <f>'data from protein balance sheet'!H41</f>
        <v>0.49545886482417523</v>
      </c>
      <c r="G32" s="56">
        <f>IF(B32&gt;E32,F32,F32*B32/E32)</f>
        <v>0.328844415361494</v>
      </c>
      <c r="H32" s="63">
        <v>0.25</v>
      </c>
      <c r="I32" s="58">
        <f>F32*H32</f>
        <v>0.12386471620604381</v>
      </c>
      <c r="J32" s="58">
        <f>G32*H32</f>
        <v>8.2211103840373501E-2</v>
      </c>
      <c r="K32" s="26"/>
      <c r="L32" s="26"/>
      <c r="M32" s="6">
        <f>+IF(H32&lt;15%,1,IF(H32&lt;30%,2,IF(H32&lt;50%,3,4)))</f>
        <v>2</v>
      </c>
      <c r="N32" s="52"/>
      <c r="O32" s="52"/>
      <c r="P32" s="52"/>
      <c r="Q32" s="52"/>
    </row>
    <row r="33" spans="1:17" ht="12.75" customHeight="1" x14ac:dyDescent="0.25">
      <c r="A33" s="20"/>
      <c r="B33" s="21"/>
      <c r="C33" s="21"/>
      <c r="D33" s="21"/>
      <c r="E33" s="21"/>
      <c r="F33" s="22"/>
      <c r="G33" s="22"/>
      <c r="H33" s="23"/>
      <c r="I33" s="24"/>
      <c r="J33" s="25"/>
      <c r="K33" s="26"/>
      <c r="L33" s="26"/>
      <c r="M33" s="6"/>
      <c r="N33" s="52"/>
      <c r="O33" s="52"/>
      <c r="P33" s="52"/>
      <c r="Q33" s="52"/>
    </row>
    <row r="34" spans="1:17" ht="36" customHeight="1" x14ac:dyDescent="0.25">
      <c r="A34" s="27" t="s">
        <v>30</v>
      </c>
      <c r="B34" s="28"/>
      <c r="C34" s="28"/>
      <c r="D34" s="28"/>
      <c r="E34" s="28"/>
      <c r="F34" s="29">
        <f>+F36+F63</f>
        <v>82.580613133417842</v>
      </c>
      <c r="G34" s="29">
        <f>+G36+G63</f>
        <v>46.158281128821542</v>
      </c>
      <c r="H34" s="30"/>
      <c r="I34" s="30">
        <f>+I36+I63</f>
        <v>24.478884244548205</v>
      </c>
      <c r="J34" s="30">
        <f>+J36+J63</f>
        <v>9.714016027475596</v>
      </c>
      <c r="K34" s="31">
        <f>IF(I34=0,0,J34/I34)</f>
        <v>0.39683246713497761</v>
      </c>
      <c r="L34" s="31">
        <f>+I34/$I$89</f>
        <v>0.33321529261765936</v>
      </c>
      <c r="M34" s="6"/>
      <c r="N34" s="52"/>
      <c r="O34" s="52"/>
      <c r="P34" s="52"/>
      <c r="Q34" s="52"/>
    </row>
    <row r="35" spans="1:17" ht="12.75" customHeight="1" x14ac:dyDescent="0.25">
      <c r="A35" s="20"/>
      <c r="B35" s="21"/>
      <c r="C35" s="21"/>
      <c r="D35" s="21"/>
      <c r="E35" s="21"/>
      <c r="F35" s="22"/>
      <c r="G35" s="22"/>
      <c r="H35" s="23"/>
      <c r="I35" s="24"/>
      <c r="J35" s="25"/>
      <c r="K35" s="26"/>
      <c r="L35" s="26"/>
      <c r="M35" s="6"/>
      <c r="N35" s="52"/>
      <c r="O35" s="52"/>
      <c r="P35" s="52"/>
      <c r="Q35" s="52"/>
    </row>
    <row r="36" spans="1:17" ht="18.75" customHeight="1" outlineLevel="1" x14ac:dyDescent="0.25">
      <c r="A36" s="48" t="s">
        <v>31</v>
      </c>
      <c r="B36" s="49">
        <f t="shared" ref="B36:E36" si="7">+B38+B45+B51+B57</f>
        <v>28.919376973947745</v>
      </c>
      <c r="C36" s="49">
        <f t="shared" si="7"/>
        <v>22.907035377999996</v>
      </c>
      <c r="D36" s="49">
        <f t="shared" si="7"/>
        <v>1.9779104469999997</v>
      </c>
      <c r="E36" s="49">
        <f t="shared" si="7"/>
        <v>49.848501904947739</v>
      </c>
      <c r="F36" s="49">
        <f>+F38+F45+F51+F57</f>
        <v>49.664236346056605</v>
      </c>
      <c r="G36" s="49">
        <f>+G38+G45+G51+G57</f>
        <v>15.366217409460301</v>
      </c>
      <c r="H36" s="50"/>
      <c r="I36" s="50">
        <f>+I38+I45+I51+I57</f>
        <v>19.754512685844013</v>
      </c>
      <c r="J36" s="50">
        <f>+J38+J45+J51+J57</f>
        <v>5.3057100392104051</v>
      </c>
      <c r="K36" s="51">
        <f>IF(I36=0,0,J36/I36)</f>
        <v>0.26858217783385013</v>
      </c>
      <c r="L36" s="51">
        <f>+I36/$I$89</f>
        <v>0.26890546396528653</v>
      </c>
      <c r="M36" s="6"/>
      <c r="N36" s="52"/>
      <c r="O36" s="73"/>
      <c r="P36" s="52"/>
      <c r="Q36" s="52"/>
    </row>
    <row r="37" spans="1:17" ht="7.5" customHeight="1" outlineLevel="1" x14ac:dyDescent="0.25">
      <c r="A37" s="20"/>
      <c r="B37" s="21"/>
      <c r="C37" s="21"/>
      <c r="D37" s="21"/>
      <c r="E37" s="21"/>
      <c r="F37" s="22"/>
      <c r="G37" s="22"/>
      <c r="H37" s="23"/>
      <c r="I37" s="24"/>
      <c r="J37" s="25"/>
      <c r="K37" s="26"/>
      <c r="L37" s="26"/>
      <c r="M37" s="6"/>
      <c r="N37" s="52"/>
      <c r="O37" s="52"/>
      <c r="P37" s="52"/>
      <c r="Q37" s="52"/>
    </row>
    <row r="38" spans="1:17" ht="15" customHeight="1" outlineLevel="2" x14ac:dyDescent="0.25">
      <c r="A38" s="48" t="s">
        <v>88</v>
      </c>
      <c r="B38" s="49">
        <f t="shared" ref="B38:E38" si="8">B40+B41+B42+B43</f>
        <v>10.240770203556712</v>
      </c>
      <c r="C38" s="49">
        <f t="shared" si="8"/>
        <v>17.418309860999997</v>
      </c>
      <c r="D38" s="49">
        <f t="shared" si="8"/>
        <v>0.72749225899999981</v>
      </c>
      <c r="E38" s="49">
        <f t="shared" si="8"/>
        <v>26.93158780555671</v>
      </c>
      <c r="F38" s="49">
        <f>F40+F41+F42+F43</f>
        <v>26.747322246665576</v>
      </c>
      <c r="G38" s="49">
        <f>G40+G41+G42+G43</f>
        <v>0.87565824263960013</v>
      </c>
      <c r="H38" s="50"/>
      <c r="I38" s="50">
        <f>SUM(I40:I43)</f>
        <v>12.199140166166847</v>
      </c>
      <c r="J38" s="50">
        <f>SUM(J40:J43)</f>
        <v>0.37653304433502804</v>
      </c>
      <c r="K38" s="51">
        <f>IF(I38=0,0,J38/I38)</f>
        <v>3.0865539636908718E-2</v>
      </c>
      <c r="L38" s="51">
        <f>+I38/$I$89</f>
        <v>0.16605904172525543</v>
      </c>
      <c r="M38" s="6"/>
      <c r="N38" s="73"/>
      <c r="O38" s="73"/>
      <c r="P38" s="52"/>
      <c r="Q38" s="52"/>
    </row>
    <row r="39" spans="1:17" ht="15" customHeight="1" outlineLevel="2" x14ac:dyDescent="0.25">
      <c r="A39" s="20"/>
      <c r="B39" s="21"/>
      <c r="C39" s="21"/>
      <c r="D39" s="21"/>
      <c r="E39" s="21"/>
      <c r="F39" s="22"/>
      <c r="G39" s="22"/>
      <c r="H39" s="23"/>
      <c r="I39" s="24"/>
      <c r="J39" s="25"/>
      <c r="K39" s="26"/>
      <c r="L39" s="26"/>
      <c r="M39" s="6"/>
      <c r="N39" s="73"/>
      <c r="O39" s="73"/>
      <c r="P39" s="52"/>
      <c r="Q39" s="52"/>
    </row>
    <row r="40" spans="1:17" ht="15" customHeight="1" outlineLevel="2" x14ac:dyDescent="0.25">
      <c r="A40" s="55" t="s">
        <v>33</v>
      </c>
      <c r="B40" s="56">
        <f>(MIN((B23-D23)*'data from oilseed masterfile'!V40,B23-D23-G23)*0.79)</f>
        <v>0.89352881902000014</v>
      </c>
      <c r="C40" s="56"/>
      <c r="D40" s="56"/>
      <c r="E40" s="56">
        <f>B40-D40</f>
        <v>0.89352881902000014</v>
      </c>
      <c r="F40" s="56">
        <f>(B40-D40)*0.98</f>
        <v>0.87565824263960013</v>
      </c>
      <c r="G40" s="56">
        <f>F40</f>
        <v>0.87565824263960013</v>
      </c>
      <c r="H40" s="61">
        <v>0.43</v>
      </c>
      <c r="I40" s="58">
        <f>F40*H40</f>
        <v>0.37653304433502804</v>
      </c>
      <c r="J40" s="58">
        <f>G40*H40</f>
        <v>0.37653304433502804</v>
      </c>
      <c r="K40" s="26"/>
      <c r="L40" s="26"/>
      <c r="M40" s="6">
        <f>+IF(H40&lt;15%,1,IF(H40&lt;30%,2,IF(H40&lt;50%,3,4)))</f>
        <v>3</v>
      </c>
      <c r="N40" s="73"/>
      <c r="O40" s="73"/>
      <c r="P40" s="52"/>
      <c r="Q40" s="52"/>
    </row>
    <row r="41" spans="1:17" ht="15" customHeight="1" outlineLevel="2" x14ac:dyDescent="0.25">
      <c r="A41" s="55" t="s">
        <v>34</v>
      </c>
      <c r="B41" s="56">
        <f>(MIN(C23*'data from oilseed masterfile'!V40,C23-(F23-G23))*0.79-B43)</f>
        <v>9.0472413845367115</v>
      </c>
      <c r="C41" s="56"/>
      <c r="D41" s="56">
        <f>+'data from oilseed masterfile'!V35</f>
        <v>0.72749225899999981</v>
      </c>
      <c r="E41" s="56">
        <f>B41-D41</f>
        <v>8.3197491255367115</v>
      </c>
      <c r="F41" s="56">
        <f>(B41-D41)*0.98</f>
        <v>8.1533541430259771</v>
      </c>
      <c r="G41" s="56">
        <v>0</v>
      </c>
      <c r="H41" s="61">
        <v>0.45500000000000002</v>
      </c>
      <c r="I41" s="58">
        <f>F41*H41</f>
        <v>3.7097761350768197</v>
      </c>
      <c r="J41" s="58">
        <f>G41*H41</f>
        <v>0</v>
      </c>
      <c r="K41" s="26"/>
      <c r="L41" s="26"/>
      <c r="M41" s="6">
        <f>+IF(H41&lt;15%,1,IF(H41&lt;30%,2,IF(H41&lt;50%,3,4)))</f>
        <v>3</v>
      </c>
      <c r="N41" s="73"/>
      <c r="O41" s="73"/>
      <c r="P41" s="52"/>
      <c r="Q41" s="52"/>
    </row>
    <row r="42" spans="1:17" ht="15" customHeight="1" outlineLevel="2" x14ac:dyDescent="0.25">
      <c r="A42" s="55" t="s">
        <v>35</v>
      </c>
      <c r="B42" s="56"/>
      <c r="C42" s="56">
        <f>+'data from oilseed masterfile'!V31</f>
        <v>17.418309860999997</v>
      </c>
      <c r="D42" s="56"/>
      <c r="E42" s="56">
        <f>C42</f>
        <v>17.418309860999997</v>
      </c>
      <c r="F42" s="56">
        <f>(C42-D42)</f>
        <v>17.418309860999997</v>
      </c>
      <c r="G42" s="56">
        <v>0</v>
      </c>
      <c r="H42" s="61">
        <v>0.45500000000000002</v>
      </c>
      <c r="I42" s="58">
        <f>F42*H42</f>
        <v>7.9253309867549993</v>
      </c>
      <c r="J42" s="58">
        <f>G42*H42</f>
        <v>0</v>
      </c>
      <c r="K42" s="26"/>
      <c r="L42" s="26"/>
      <c r="M42" s="6">
        <f>+IF(H42&lt;15%,1,IF(H42&lt;30%,2,IF(H42&lt;50%,3,4)))</f>
        <v>3</v>
      </c>
      <c r="N42" s="73"/>
      <c r="O42" s="73"/>
      <c r="P42" s="52"/>
      <c r="Q42" s="52"/>
    </row>
    <row r="43" spans="1:17" ht="15" customHeight="1" outlineLevel="2" x14ac:dyDescent="0.25">
      <c r="A43" s="55" t="s">
        <v>89</v>
      </c>
      <c r="B43" s="56">
        <f>F43</f>
        <v>0.3</v>
      </c>
      <c r="C43" s="56"/>
      <c r="D43" s="56"/>
      <c r="E43" s="56">
        <f>B43+C43-D43</f>
        <v>0.3</v>
      </c>
      <c r="F43" s="56">
        <v>0.3</v>
      </c>
      <c r="G43" s="56">
        <v>0</v>
      </c>
      <c r="H43" s="65">
        <v>0.625</v>
      </c>
      <c r="I43" s="58">
        <f>F43*H43</f>
        <v>0.1875</v>
      </c>
      <c r="J43" s="58">
        <f>G43*H43</f>
        <v>0</v>
      </c>
      <c r="K43" s="26">
        <f>IF(I43=0,0,J43/I43)</f>
        <v>0</v>
      </c>
      <c r="L43" s="26">
        <f>IF(J43=0,0,K43/J43)</f>
        <v>0</v>
      </c>
      <c r="M43" s="6">
        <f>+IF(H43&lt;15%,1,IF(H43&lt;30%,2,IF(H43&lt;50%,3,4)))</f>
        <v>4</v>
      </c>
      <c r="N43" s="73"/>
      <c r="O43" s="73"/>
      <c r="P43" s="52"/>
      <c r="Q43" s="52"/>
    </row>
    <row r="44" spans="1:17" ht="12.75" customHeight="1" outlineLevel="2" x14ac:dyDescent="0.25">
      <c r="A44" s="20"/>
      <c r="B44" s="21"/>
      <c r="C44" s="21"/>
      <c r="D44" s="21"/>
      <c r="E44" s="21"/>
      <c r="F44" s="22"/>
      <c r="G44" s="22"/>
      <c r="H44" s="23"/>
      <c r="I44" s="24"/>
      <c r="J44" s="25"/>
      <c r="K44" s="26"/>
      <c r="L44" s="26"/>
      <c r="M44" s="6"/>
      <c r="N44" s="73"/>
      <c r="O44" s="73"/>
      <c r="P44" s="52"/>
      <c r="Q44" s="52"/>
    </row>
    <row r="45" spans="1:17" ht="15" customHeight="1" outlineLevel="2" x14ac:dyDescent="0.25">
      <c r="A45" s="48" t="s">
        <v>90</v>
      </c>
      <c r="B45" s="49">
        <f t="shared" ref="B45:E45" si="9">B47+B48+B49</f>
        <v>13.021474351120268</v>
      </c>
      <c r="C45" s="49">
        <f t="shared" si="9"/>
        <v>0.36797923799999999</v>
      </c>
      <c r="D45" s="49">
        <f t="shared" si="9"/>
        <v>0.53204657099999997</v>
      </c>
      <c r="E45" s="49">
        <f t="shared" si="9"/>
        <v>12.857407018120268</v>
      </c>
      <c r="F45" s="49">
        <f>F47+F48+F49</f>
        <v>12.857407018120268</v>
      </c>
      <c r="G45" s="49">
        <f>G47+G48+G49</f>
        <v>10.203926968669156</v>
      </c>
      <c r="H45" s="50"/>
      <c r="I45" s="50">
        <f>SUM(I47:I49)</f>
        <v>4.2429443159796891</v>
      </c>
      <c r="J45" s="50">
        <f>SUM(J47:J49)</f>
        <v>3.3672958996608218</v>
      </c>
      <c r="K45" s="51">
        <f>IF(I45=0,0,J45/I45)</f>
        <v>0.79362245857881797</v>
      </c>
      <c r="L45" s="51">
        <f>+I45/$I$89</f>
        <v>5.7756469522277476E-2</v>
      </c>
      <c r="M45" s="6"/>
      <c r="N45" s="72"/>
      <c r="O45" s="73"/>
      <c r="P45" s="52"/>
      <c r="Q45" s="52"/>
    </row>
    <row r="46" spans="1:17" ht="15" customHeight="1" outlineLevel="2" x14ac:dyDescent="0.25">
      <c r="A46" s="20"/>
      <c r="B46" s="21"/>
      <c r="C46" s="21"/>
      <c r="D46" s="21"/>
      <c r="E46" s="21"/>
      <c r="F46" s="22"/>
      <c r="G46" s="22"/>
      <c r="H46" s="23"/>
      <c r="I46" s="24"/>
      <c r="J46" s="25"/>
      <c r="K46" s="26"/>
      <c r="L46" s="26"/>
      <c r="M46" s="6"/>
      <c r="N46" s="52"/>
      <c r="O46" s="52"/>
      <c r="P46" s="52"/>
      <c r="Q46" s="52"/>
    </row>
    <row r="47" spans="1:17" ht="15" customHeight="1" outlineLevel="2" x14ac:dyDescent="0.25">
      <c r="A47" s="55" t="s">
        <v>38</v>
      </c>
      <c r="B47" s="56">
        <f>(MIN((B24-D24)*'data from oilseed masterfile'!V41,B24-D24-G24)*0.57)</f>
        <v>10.735973539669157</v>
      </c>
      <c r="C47" s="56"/>
      <c r="D47" s="56">
        <f>+'data from oilseed masterfile'!V36</f>
        <v>0.53204657099999997</v>
      </c>
      <c r="E47" s="56">
        <f>B47-D47</f>
        <v>10.203926968669156</v>
      </c>
      <c r="F47" s="56">
        <f>(B47-D47)</f>
        <v>10.203926968669156</v>
      </c>
      <c r="G47" s="56">
        <f>F47</f>
        <v>10.203926968669156</v>
      </c>
      <c r="H47" s="61">
        <v>0.33</v>
      </c>
      <c r="I47" s="58">
        <f>F47*H47</f>
        <v>3.3672958996608218</v>
      </c>
      <c r="J47" s="58">
        <f>G47*H47</f>
        <v>3.3672958996608218</v>
      </c>
      <c r="K47" s="26"/>
      <c r="L47" s="26"/>
      <c r="M47" s="6">
        <f>+IF(H47&lt;15%,1,IF(H47&lt;30%,2,IF(H47&lt;50%,3,4)))</f>
        <v>3</v>
      </c>
      <c r="N47" s="52"/>
      <c r="O47" s="52"/>
      <c r="P47" s="52"/>
      <c r="Q47" s="52"/>
    </row>
    <row r="48" spans="1:17" ht="15" customHeight="1" outlineLevel="2" x14ac:dyDescent="0.25">
      <c r="A48" s="55" t="s">
        <v>39</v>
      </c>
      <c r="B48" s="56">
        <f>C24*'data from oilseed masterfile'!V41*0.57</f>
        <v>2.2855008114511115</v>
      </c>
      <c r="C48" s="56"/>
      <c r="D48" s="56"/>
      <c r="E48" s="56">
        <f>B48-D48</f>
        <v>2.2855008114511115</v>
      </c>
      <c r="F48" s="56">
        <f>(B48-D48)</f>
        <v>2.2855008114511115</v>
      </c>
      <c r="G48" s="56">
        <v>0</v>
      </c>
      <c r="H48" s="61">
        <v>0.33</v>
      </c>
      <c r="I48" s="58">
        <f>F48*H48</f>
        <v>0.75421526777886683</v>
      </c>
      <c r="J48" s="58">
        <f>G48*H48</f>
        <v>0</v>
      </c>
      <c r="K48" s="26"/>
      <c r="L48" s="26"/>
      <c r="M48" s="6">
        <f>+IF(H48&lt;15%,1,IF(H48&lt;30%,2,IF(H48&lt;50%,3,4)))</f>
        <v>3</v>
      </c>
      <c r="N48" s="52"/>
      <c r="O48" s="52"/>
      <c r="P48" s="52"/>
      <c r="Q48" s="52"/>
    </row>
    <row r="49" spans="1:28" ht="15" customHeight="1" outlineLevel="2" x14ac:dyDescent="0.25">
      <c r="A49" s="55" t="s">
        <v>40</v>
      </c>
      <c r="B49" s="56"/>
      <c r="C49" s="56">
        <f>+'data from oilseed masterfile'!V32</f>
        <v>0.36797923799999999</v>
      </c>
      <c r="D49" s="56"/>
      <c r="E49" s="56">
        <f>C49</f>
        <v>0.36797923799999999</v>
      </c>
      <c r="F49" s="56">
        <f>IF((C49-D49)&lt;0,0,C49-D49)</f>
        <v>0.36797923799999999</v>
      </c>
      <c r="G49" s="56">
        <v>0</v>
      </c>
      <c r="H49" s="61">
        <v>0.33</v>
      </c>
      <c r="I49" s="58">
        <f>F49*H49</f>
        <v>0.12143314854000001</v>
      </c>
      <c r="J49" s="58">
        <f>G49*H49</f>
        <v>0</v>
      </c>
      <c r="K49" s="26"/>
      <c r="L49" s="26"/>
      <c r="M49" s="6">
        <f>+IF(H49&lt;15%,1,IF(H49&lt;30%,2,IF(H49&lt;50%,3,4)))</f>
        <v>3</v>
      </c>
      <c r="N49" s="73"/>
      <c r="O49" s="73"/>
      <c r="P49" s="52"/>
      <c r="Q49" s="52"/>
      <c r="R49" s="52"/>
      <c r="S49" s="52"/>
      <c r="T49" s="52"/>
      <c r="U49" s="52"/>
      <c r="V49" s="52"/>
      <c r="W49" s="52"/>
      <c r="X49" s="52"/>
      <c r="Y49" s="52"/>
      <c r="Z49" s="52"/>
      <c r="AA49" s="52"/>
      <c r="AB49" s="52"/>
    </row>
    <row r="50" spans="1:28" ht="12.75" customHeight="1" outlineLevel="2" x14ac:dyDescent="0.25">
      <c r="A50" s="20"/>
      <c r="B50" s="21"/>
      <c r="C50" s="21"/>
      <c r="D50" s="21"/>
      <c r="E50" s="21"/>
      <c r="F50" s="22"/>
      <c r="G50" s="22"/>
      <c r="H50" s="23"/>
      <c r="I50" s="24"/>
      <c r="J50" s="25"/>
      <c r="K50" s="26"/>
      <c r="L50" s="26"/>
      <c r="M50" s="6"/>
      <c r="N50" s="73"/>
      <c r="O50" s="73"/>
      <c r="P50" s="52"/>
      <c r="Q50" s="52"/>
      <c r="R50" s="52"/>
      <c r="S50" s="52"/>
      <c r="T50" s="52"/>
      <c r="U50" s="52"/>
      <c r="V50" s="52"/>
      <c r="W50" s="52"/>
      <c r="X50" s="52"/>
      <c r="Y50" s="52"/>
      <c r="Z50" s="52"/>
      <c r="AA50" s="52"/>
      <c r="AB50" s="52"/>
    </row>
    <row r="51" spans="1:28" ht="15" customHeight="1" outlineLevel="2" x14ac:dyDescent="0.25">
      <c r="A51" s="48" t="s">
        <v>91</v>
      </c>
      <c r="B51" s="49">
        <f t="shared" ref="B51:E51" si="10">B53+B54+B55</f>
        <v>5.0311324192707625</v>
      </c>
      <c r="C51" s="49">
        <f t="shared" si="10"/>
        <v>3.4538443209999996</v>
      </c>
      <c r="D51" s="49">
        <f t="shared" si="10"/>
        <v>0.56562433000000001</v>
      </c>
      <c r="E51" s="49">
        <f t="shared" si="10"/>
        <v>7.9193524102707613</v>
      </c>
      <c r="F51" s="49">
        <f>F53+F54+F55</f>
        <v>7.9193524102707613</v>
      </c>
      <c r="G51" s="49">
        <f>G53+G54+G55</f>
        <v>4.1907038801515437</v>
      </c>
      <c r="H51" s="50"/>
      <c r="I51" s="50">
        <f>SUM(I53:I55)</f>
        <v>2.8509668676974744</v>
      </c>
      <c r="J51" s="50">
        <f>SUM(J53:J55)</f>
        <v>1.5086533968545557</v>
      </c>
      <c r="K51" s="51">
        <f>IF(I51=0,0,J51/I51)</f>
        <v>0.5291725463203959</v>
      </c>
      <c r="L51" s="51">
        <f>+I51/$I$89</f>
        <v>3.8808376622584059E-2</v>
      </c>
      <c r="M51" s="6"/>
      <c r="N51" s="72"/>
      <c r="O51" s="73"/>
      <c r="P51" s="52"/>
      <c r="Q51" s="52"/>
      <c r="R51" s="52"/>
      <c r="S51" s="52"/>
      <c r="T51" s="52"/>
      <c r="U51" s="52"/>
      <c r="V51" s="52"/>
      <c r="W51" s="52"/>
      <c r="X51" s="52"/>
      <c r="Y51" s="52"/>
      <c r="Z51" s="52"/>
      <c r="AA51" s="52"/>
      <c r="AB51" s="52"/>
    </row>
    <row r="52" spans="1:28" ht="15" customHeight="1" outlineLevel="2" x14ac:dyDescent="0.25">
      <c r="A52" s="20"/>
      <c r="B52" s="21"/>
      <c r="C52" s="21"/>
      <c r="D52" s="21"/>
      <c r="E52" s="21"/>
      <c r="F52" s="22"/>
      <c r="G52" s="22"/>
      <c r="H52" s="23"/>
      <c r="I52" s="24"/>
      <c r="J52" s="25"/>
      <c r="K52" s="26"/>
      <c r="L52" s="26"/>
      <c r="M52" s="6"/>
      <c r="N52" s="52"/>
      <c r="O52" s="52"/>
      <c r="P52" s="52"/>
      <c r="Q52" s="52"/>
      <c r="R52" s="52"/>
      <c r="S52" s="52"/>
      <c r="T52" s="52"/>
      <c r="U52" s="52"/>
      <c r="V52" s="52"/>
      <c r="W52" s="52"/>
      <c r="X52" s="52"/>
      <c r="Y52" s="52"/>
      <c r="Z52" s="52"/>
      <c r="AA52" s="52"/>
      <c r="AB52" s="52"/>
    </row>
    <row r="53" spans="1:28" ht="15" customHeight="1" outlineLevel="2" x14ac:dyDescent="0.25">
      <c r="A53" s="55" t="s">
        <v>42</v>
      </c>
      <c r="B53" s="56">
        <f>MIN((B25-D25)*'data from oilseed masterfile'!V42,B25-D25-F25)*55%</f>
        <v>4.7563282101515441</v>
      </c>
      <c r="C53" s="56"/>
      <c r="D53" s="56">
        <f>+'data from oilseed masterfile'!V37</f>
        <v>0.56562433000000001</v>
      </c>
      <c r="E53" s="56">
        <f>B53-D53</f>
        <v>4.1907038801515437</v>
      </c>
      <c r="F53" s="56">
        <f>(B53-D53)</f>
        <v>4.1907038801515437</v>
      </c>
      <c r="G53" s="56">
        <f>F53</f>
        <v>4.1907038801515437</v>
      </c>
      <c r="H53" s="61">
        <v>0.36</v>
      </c>
      <c r="I53" s="58">
        <f>F53*H53</f>
        <v>1.5086533968545557</v>
      </c>
      <c r="J53" s="58">
        <f>G53*H53</f>
        <v>1.5086533968545557</v>
      </c>
      <c r="K53" s="26"/>
      <c r="L53" s="26"/>
      <c r="M53" s="6">
        <f>+IF(H53&lt;15%,1,IF(H53&lt;30%,2,IF(H53&lt;50%,3,4)))</f>
        <v>3</v>
      </c>
      <c r="N53" s="52"/>
      <c r="O53" s="52"/>
      <c r="P53" s="52"/>
      <c r="Q53" s="52"/>
      <c r="R53" s="52"/>
      <c r="S53" s="52"/>
      <c r="T53" s="52"/>
      <c r="U53" s="52"/>
      <c r="V53" s="52"/>
      <c r="W53" s="52"/>
      <c r="X53" s="52"/>
      <c r="Y53" s="52"/>
      <c r="Z53" s="52"/>
      <c r="AA53" s="52"/>
      <c r="AB53" s="52"/>
    </row>
    <row r="54" spans="1:28" ht="15" customHeight="1" outlineLevel="2" x14ac:dyDescent="0.25">
      <c r="A54" s="55" t="s">
        <v>43</v>
      </c>
      <c r="B54" s="56">
        <f>C25*'data from oilseed masterfile'!V42*55%</f>
        <v>0.27480420911921843</v>
      </c>
      <c r="C54" s="56"/>
      <c r="D54" s="56"/>
      <c r="E54" s="56">
        <f>B54-D54</f>
        <v>0.27480420911921843</v>
      </c>
      <c r="F54" s="56">
        <f>(B54-D54)</f>
        <v>0.27480420911921843</v>
      </c>
      <c r="G54" s="56">
        <v>0</v>
      </c>
      <c r="H54" s="61">
        <v>0.36</v>
      </c>
      <c r="I54" s="58">
        <f>F54*H54</f>
        <v>9.8929515282918629E-2</v>
      </c>
      <c r="J54" s="58">
        <f>G54*H54</f>
        <v>0</v>
      </c>
      <c r="K54" s="26"/>
      <c r="L54" s="26"/>
      <c r="M54" s="6">
        <f>+IF(H54&lt;15%,1,IF(H54&lt;30%,2,IF(H54&lt;50%,3,4)))</f>
        <v>3</v>
      </c>
      <c r="N54" s="52"/>
      <c r="O54" s="52"/>
      <c r="P54" s="52"/>
      <c r="Q54" s="52"/>
      <c r="R54" s="52"/>
      <c r="S54" s="52"/>
      <c r="T54" s="52"/>
      <c r="U54" s="52"/>
      <c r="V54" s="52"/>
      <c r="W54" s="52"/>
      <c r="X54" s="52"/>
      <c r="Y54" s="52"/>
      <c r="Z54" s="52"/>
      <c r="AA54" s="52"/>
      <c r="AB54" s="52"/>
    </row>
    <row r="55" spans="1:28" ht="15" customHeight="1" outlineLevel="2" x14ac:dyDescent="0.25">
      <c r="A55" s="55" t="s">
        <v>44</v>
      </c>
      <c r="B55" s="56"/>
      <c r="C55" s="56">
        <f>+'data from oilseed masterfile'!V33</f>
        <v>3.4538443209999996</v>
      </c>
      <c r="D55" s="56"/>
      <c r="E55" s="56">
        <f>C55</f>
        <v>3.4538443209999996</v>
      </c>
      <c r="F55" s="56">
        <f>C55-D55</f>
        <v>3.4538443209999996</v>
      </c>
      <c r="G55" s="56">
        <v>0</v>
      </c>
      <c r="H55" s="61">
        <v>0.36</v>
      </c>
      <c r="I55" s="58">
        <f>F55*H55</f>
        <v>1.2433839555599999</v>
      </c>
      <c r="J55" s="58">
        <f>G55*H55</f>
        <v>0</v>
      </c>
      <c r="K55" s="26"/>
      <c r="L55" s="26"/>
      <c r="M55" s="6">
        <f>+IF(H55&lt;15%,1,IF(H55&lt;30%,2,IF(H55&lt;50%,3,4)))</f>
        <v>3</v>
      </c>
      <c r="N55" s="73"/>
      <c r="O55" s="73"/>
      <c r="P55" s="52"/>
      <c r="Q55" s="52"/>
      <c r="R55" s="52"/>
      <c r="S55" s="52"/>
      <c r="T55" s="52"/>
      <c r="U55" s="52"/>
      <c r="V55" s="52"/>
      <c r="W55" s="52"/>
      <c r="X55" s="52"/>
      <c r="Y55" s="52"/>
      <c r="Z55" s="52"/>
      <c r="AA55" s="52"/>
      <c r="AB55" s="52"/>
    </row>
    <row r="56" spans="1:28" ht="12.75" customHeight="1" outlineLevel="2" x14ac:dyDescent="0.25">
      <c r="A56" s="20"/>
      <c r="B56" s="21"/>
      <c r="C56" s="21"/>
      <c r="D56" s="21"/>
      <c r="E56" s="21"/>
      <c r="F56" s="22"/>
      <c r="G56" s="22"/>
      <c r="H56" s="23"/>
      <c r="I56" s="24"/>
      <c r="J56" s="25"/>
      <c r="K56" s="26"/>
      <c r="L56" s="26"/>
      <c r="M56" s="6"/>
      <c r="N56" s="73"/>
      <c r="O56" s="73"/>
      <c r="P56" s="52"/>
      <c r="Q56" s="52"/>
      <c r="R56" s="52"/>
      <c r="S56" s="52"/>
      <c r="T56" s="52"/>
      <c r="U56" s="52"/>
      <c r="V56" s="52"/>
      <c r="W56" s="52"/>
      <c r="X56" s="52"/>
      <c r="Y56" s="52"/>
      <c r="Z56" s="52"/>
      <c r="AA56" s="52"/>
      <c r="AB56" s="52"/>
    </row>
    <row r="57" spans="1:28" ht="15" customHeight="1" outlineLevel="2" x14ac:dyDescent="0.25">
      <c r="A57" s="48" t="s">
        <v>92</v>
      </c>
      <c r="B57" s="49">
        <f t="shared" ref="B57:E57" si="11">B59+B60+B61</f>
        <v>0.626</v>
      </c>
      <c r="C57" s="49">
        <f t="shared" si="11"/>
        <v>1.6669019579999997</v>
      </c>
      <c r="D57" s="49">
        <f t="shared" si="11"/>
        <v>0.15274728700000001</v>
      </c>
      <c r="E57" s="49">
        <f t="shared" si="11"/>
        <v>2.1401546709999995</v>
      </c>
      <c r="F57" s="49">
        <f>F59+F60+F61</f>
        <v>2.1401546709999995</v>
      </c>
      <c r="G57" s="49">
        <f>G59+G60+G61</f>
        <v>9.5928318000000012E-2</v>
      </c>
      <c r="H57" s="50"/>
      <c r="I57" s="50">
        <f>SUM(I59:I61)</f>
        <v>0.46146133599999994</v>
      </c>
      <c r="J57" s="50">
        <f>SUM(J59:J61)</f>
        <v>5.3227698360000006E-2</v>
      </c>
      <c r="K57" s="51">
        <f>IF(I57=0,0,J57/I57)</f>
        <v>0.11534595470420952</v>
      </c>
      <c r="L57" s="51">
        <f>+I57/$I$89</f>
        <v>6.281576095169529E-3</v>
      </c>
      <c r="M57" s="6"/>
      <c r="N57" s="73"/>
      <c r="O57" s="73"/>
      <c r="P57" s="52"/>
      <c r="Q57" s="52"/>
      <c r="R57" s="52"/>
      <c r="S57" s="52"/>
      <c r="T57" s="52"/>
      <c r="U57" s="52"/>
      <c r="V57" s="52"/>
      <c r="W57" s="52"/>
      <c r="X57" s="52"/>
      <c r="Y57" s="52"/>
      <c r="Z57" s="52"/>
      <c r="AA57" s="52"/>
      <c r="AB57" s="52"/>
    </row>
    <row r="58" spans="1:28" ht="15" customHeight="1" outlineLevel="2" x14ac:dyDescent="0.25">
      <c r="A58" s="20"/>
      <c r="B58" s="21"/>
      <c r="C58" s="21"/>
      <c r="D58" s="21"/>
      <c r="E58" s="21"/>
      <c r="F58" s="22"/>
      <c r="G58" s="22"/>
      <c r="H58" s="23"/>
      <c r="I58" s="24"/>
      <c r="J58" s="25"/>
      <c r="K58" s="26"/>
      <c r="L58" s="26"/>
      <c r="M58" s="6"/>
      <c r="N58" s="73"/>
      <c r="O58" s="73"/>
      <c r="P58" s="52"/>
      <c r="Q58" s="52"/>
      <c r="R58" s="52"/>
      <c r="S58" s="52"/>
      <c r="T58" s="52"/>
      <c r="U58" s="52"/>
      <c r="V58" s="52"/>
      <c r="W58" s="52"/>
      <c r="X58" s="52"/>
      <c r="Y58" s="52"/>
      <c r="Z58" s="52"/>
      <c r="AA58" s="52"/>
      <c r="AB58" s="52"/>
    </row>
    <row r="59" spans="1:28" ht="15" customHeight="1" outlineLevel="2" x14ac:dyDescent="0.25">
      <c r="A59" s="55" t="s">
        <v>46</v>
      </c>
      <c r="B59" s="56">
        <v>0</v>
      </c>
      <c r="C59" s="56">
        <v>1.5933517909999997</v>
      </c>
      <c r="D59" s="56">
        <v>8.4448670000000003E-2</v>
      </c>
      <c r="E59" s="56">
        <f>B59+C59-D59</f>
        <v>1.5089031209999997</v>
      </c>
      <c r="F59" s="56">
        <f>E59</f>
        <v>1.5089031209999997</v>
      </c>
      <c r="G59" s="56">
        <f>IF(B59&gt;E59,F59,F59*(B59-D59)/E59)</f>
        <v>-8.4448670000000003E-2</v>
      </c>
      <c r="H59" s="63">
        <v>0.16</v>
      </c>
      <c r="I59" s="58">
        <f>F59*H59</f>
        <v>0.24142449935999996</v>
      </c>
      <c r="J59" s="58">
        <f>G59*H59</f>
        <v>-1.35117872E-2</v>
      </c>
      <c r="K59" s="26"/>
      <c r="L59" s="26"/>
      <c r="M59" s="6">
        <f>+IF(H59&lt;15%,1,IF(H59&lt;30%,2,IF(H59&lt;50%,3,4)))</f>
        <v>2</v>
      </c>
      <c r="N59" s="52"/>
      <c r="O59" s="52"/>
      <c r="P59" s="52"/>
      <c r="Q59" s="52"/>
      <c r="R59" s="52"/>
      <c r="S59" s="52"/>
      <c r="T59" s="52"/>
      <c r="U59" s="52"/>
      <c r="V59" s="52"/>
      <c r="W59" s="52"/>
      <c r="X59" s="52"/>
      <c r="Y59" s="52"/>
      <c r="Z59" s="52"/>
      <c r="AA59" s="52"/>
      <c r="AB59" s="52"/>
    </row>
    <row r="60" spans="1:28" ht="15" customHeight="1" outlineLevel="2" x14ac:dyDescent="0.25">
      <c r="A60" s="55" t="s">
        <v>47</v>
      </c>
      <c r="B60" s="56">
        <v>0.436</v>
      </c>
      <c r="C60" s="56">
        <v>2.1351270000000002E-2</v>
      </c>
      <c r="D60" s="56">
        <v>6.4767080000000003E-3</v>
      </c>
      <c r="E60" s="56">
        <f>B60+C60-D60</f>
        <v>0.45087456199999998</v>
      </c>
      <c r="F60" s="56">
        <f>E60</f>
        <v>0.45087456199999998</v>
      </c>
      <c r="G60" s="56">
        <v>0</v>
      </c>
      <c r="H60" s="61">
        <v>0.34</v>
      </c>
      <c r="I60" s="58">
        <f>F60*H60</f>
        <v>0.15329735108</v>
      </c>
      <c r="J60" s="58">
        <f>G60*H60</f>
        <v>0</v>
      </c>
      <c r="K60" s="26"/>
      <c r="L60" s="26"/>
      <c r="M60" s="6">
        <f>+IF(H60&lt;15%,1,IF(H60&lt;30%,2,IF(H60&lt;50%,3,4)))</f>
        <v>3</v>
      </c>
      <c r="N60" s="52"/>
      <c r="O60" s="52"/>
      <c r="P60" s="52"/>
      <c r="Q60" s="52"/>
      <c r="R60" s="52"/>
      <c r="S60" s="52"/>
      <c r="T60" s="52"/>
      <c r="U60" s="52"/>
      <c r="V60" s="52"/>
      <c r="W60" s="52"/>
      <c r="X60" s="52"/>
      <c r="Y60" s="52"/>
      <c r="Z60" s="52"/>
      <c r="AA60" s="52"/>
      <c r="AB60" s="52"/>
    </row>
    <row r="61" spans="1:28" ht="15" customHeight="1" outlineLevel="2" x14ac:dyDescent="0.25">
      <c r="A61" s="55" t="s">
        <v>48</v>
      </c>
      <c r="B61" s="56">
        <v>0.19</v>
      </c>
      <c r="C61" s="56">
        <v>5.2198897000000008E-2</v>
      </c>
      <c r="D61" s="56">
        <v>6.1821909000000001E-2</v>
      </c>
      <c r="E61" s="56">
        <f>B61+C61-D61</f>
        <v>0.18037698800000002</v>
      </c>
      <c r="F61" s="56">
        <f>E61</f>
        <v>0.18037698800000002</v>
      </c>
      <c r="G61" s="56">
        <f>IF(B61&gt;E61,F61,F61*(B61-D61)/E61)</f>
        <v>0.18037698800000002</v>
      </c>
      <c r="H61" s="61">
        <v>0.37</v>
      </c>
      <c r="I61" s="58">
        <f>F61*H61</f>
        <v>6.6739485560000006E-2</v>
      </c>
      <c r="J61" s="58">
        <f>G61*H61</f>
        <v>6.6739485560000006E-2</v>
      </c>
      <c r="K61" s="26"/>
      <c r="L61" s="26"/>
      <c r="M61" s="6">
        <f>+IF(H61&lt;15%,1,IF(H61&lt;30%,2,IF(H61&lt;50%,3,4)))</f>
        <v>3</v>
      </c>
      <c r="N61" s="52"/>
      <c r="O61" s="52"/>
      <c r="P61" s="52"/>
      <c r="Q61" s="52"/>
      <c r="R61" s="52"/>
      <c r="S61" s="52"/>
      <c r="T61" s="52"/>
      <c r="U61" s="52"/>
      <c r="V61" s="52"/>
      <c r="W61" s="52"/>
      <c r="X61" s="52"/>
      <c r="Y61" s="52"/>
      <c r="Z61" s="52"/>
      <c r="AA61" s="52"/>
      <c r="AB61" s="52"/>
    </row>
    <row r="62" spans="1:28" ht="12.75" customHeight="1" outlineLevel="2" x14ac:dyDescent="0.25">
      <c r="A62" s="20"/>
      <c r="B62" s="21"/>
      <c r="C62" s="21"/>
      <c r="D62" s="21"/>
      <c r="E62" s="21"/>
      <c r="F62" s="22"/>
      <c r="G62" s="22"/>
      <c r="H62" s="23"/>
      <c r="I62" s="24"/>
      <c r="J62" s="25"/>
      <c r="K62" s="26"/>
      <c r="L62" s="26"/>
      <c r="M62" s="6"/>
      <c r="N62" s="73"/>
      <c r="O62" s="73"/>
      <c r="P62" s="52"/>
      <c r="Q62" s="52"/>
      <c r="R62" s="52"/>
      <c r="S62" s="52"/>
      <c r="T62" s="52"/>
      <c r="U62" s="52"/>
      <c r="V62" s="52"/>
      <c r="W62" s="52"/>
      <c r="X62" s="52"/>
      <c r="Y62" s="52"/>
      <c r="Z62" s="52"/>
      <c r="AA62" s="52"/>
      <c r="AB62" s="52"/>
    </row>
    <row r="63" spans="1:28" ht="19.5" customHeight="1" outlineLevel="1" x14ac:dyDescent="0.25">
      <c r="A63" s="48" t="s">
        <v>49</v>
      </c>
      <c r="B63" s="49">
        <f t="shared" ref="B63:E63" si="12">SUM(B65:B72)</f>
        <v>34.584505451260597</v>
      </c>
      <c r="C63" s="49">
        <f t="shared" si="12"/>
        <v>4.1584041859999994</v>
      </c>
      <c r="D63" s="49">
        <f t="shared" si="12"/>
        <v>1.7450484220000002</v>
      </c>
      <c r="E63" s="49">
        <f t="shared" si="12"/>
        <v>36.997861215260606</v>
      </c>
      <c r="F63" s="49">
        <f>SUM(F65:F72)</f>
        <v>32.916376787361244</v>
      </c>
      <c r="G63" s="49">
        <f>SUM(G65:G72)</f>
        <v>30.792063719361241</v>
      </c>
      <c r="H63" s="50"/>
      <c r="I63" s="50">
        <f>SUM(I65:I72)</f>
        <v>4.7243715587041919</v>
      </c>
      <c r="J63" s="50">
        <f>SUM(J65:J72)</f>
        <v>4.4083059882651909</v>
      </c>
      <c r="K63" s="51">
        <f>IF(I63=0,0,J63/I63)</f>
        <v>0.93309891770542874</v>
      </c>
      <c r="L63" s="51">
        <f>+I63/$I$89</f>
        <v>6.4309828652372864E-2</v>
      </c>
      <c r="M63" s="6"/>
      <c r="N63" s="52"/>
      <c r="O63" s="52"/>
      <c r="P63" s="52"/>
      <c r="Q63" s="52"/>
      <c r="R63" s="52"/>
      <c r="S63" s="52"/>
      <c r="T63" s="52"/>
      <c r="U63" s="52"/>
      <c r="V63" s="52"/>
      <c r="W63" s="52"/>
      <c r="X63" s="52"/>
      <c r="Y63" s="52"/>
      <c r="Z63" s="52"/>
      <c r="AA63" s="52"/>
      <c r="AB63" s="52"/>
    </row>
    <row r="64" spans="1:28" ht="15" customHeight="1" outlineLevel="2" x14ac:dyDescent="0.25">
      <c r="A64" s="20"/>
      <c r="B64" s="21"/>
      <c r="C64" s="21"/>
      <c r="D64" s="21"/>
      <c r="E64" s="21"/>
      <c r="F64" s="22"/>
      <c r="G64" s="22"/>
      <c r="H64" s="23"/>
      <c r="I64" s="24"/>
      <c r="J64" s="25"/>
      <c r="K64" s="26"/>
      <c r="L64" s="26"/>
      <c r="M64" s="6"/>
      <c r="N64" s="52"/>
      <c r="O64" s="52"/>
      <c r="P64" s="52"/>
      <c r="Q64" s="52"/>
      <c r="R64" s="52"/>
      <c r="S64" s="52"/>
      <c r="T64" s="52"/>
      <c r="U64" s="52"/>
      <c r="V64" s="52"/>
      <c r="W64" s="52"/>
      <c r="X64" s="52"/>
      <c r="Y64" s="52"/>
      <c r="Z64" s="52"/>
      <c r="AA64" s="52"/>
      <c r="AB64" s="52"/>
    </row>
    <row r="65" spans="1:28" ht="15" customHeight="1" outlineLevel="2" x14ac:dyDescent="0.25">
      <c r="A65" s="55" t="s">
        <v>50</v>
      </c>
      <c r="B65" s="56">
        <v>4.047822971039662</v>
      </c>
      <c r="C65" s="56">
        <v>0.60663526999999995</v>
      </c>
      <c r="D65" s="56">
        <v>0.55454181199999997</v>
      </c>
      <c r="E65" s="56">
        <f t="shared" ref="E65:E67" si="13">B65+C65-D65</f>
        <v>4.0999164290396619</v>
      </c>
      <c r="F65" s="56">
        <f>E65</f>
        <v>4.0999164290396619</v>
      </c>
      <c r="G65" s="56">
        <f>+F65</f>
        <v>4.0999164290396619</v>
      </c>
      <c r="H65" s="63">
        <v>0.19</v>
      </c>
      <c r="I65" s="58">
        <f>F65*H65</f>
        <v>0.77898412151753582</v>
      </c>
      <c r="J65" s="58">
        <f>G65*H65</f>
        <v>0.77898412151753582</v>
      </c>
      <c r="K65" s="26"/>
      <c r="L65" s="26"/>
      <c r="M65" s="6">
        <f t="shared" ref="M65:M71" si="14">+IF(H65&lt;15%,1,IF(H65&lt;30%,2,IF(H65&lt;50%,3,4)))</f>
        <v>2</v>
      </c>
      <c r="N65" s="52"/>
      <c r="O65" s="52"/>
      <c r="P65" s="52"/>
      <c r="Q65" s="52"/>
      <c r="R65" s="52"/>
      <c r="S65" s="52"/>
      <c r="T65" s="52"/>
      <c r="U65" s="52"/>
      <c r="V65" s="52"/>
      <c r="W65" s="52"/>
      <c r="X65" s="52"/>
      <c r="Y65" s="52"/>
      <c r="Z65" s="52"/>
      <c r="AA65" s="52"/>
      <c r="AB65" s="52"/>
    </row>
    <row r="66" spans="1:28" ht="15.75" outlineLevel="2" x14ac:dyDescent="0.25">
      <c r="A66" s="55" t="s">
        <v>51</v>
      </c>
      <c r="B66" s="56">
        <v>1.0145958202692318</v>
      </c>
      <c r="C66" s="56"/>
      <c r="D66" s="56"/>
      <c r="E66" s="56">
        <f t="shared" si="13"/>
        <v>1.0145958202692318</v>
      </c>
      <c r="F66" s="56">
        <v>0.67690362665963366</v>
      </c>
      <c r="G66" s="56">
        <f>+F66</f>
        <v>0.67690362665963366</v>
      </c>
      <c r="H66" s="65">
        <v>0.73</v>
      </c>
      <c r="I66" s="58">
        <f>F66*H66</f>
        <v>0.49413964746153255</v>
      </c>
      <c r="J66" s="58">
        <f>G66*H66</f>
        <v>0.49413964746153255</v>
      </c>
      <c r="K66" s="26"/>
      <c r="L66" s="26"/>
      <c r="M66" s="6">
        <f t="shared" si="14"/>
        <v>4</v>
      </c>
      <c r="N66" s="52"/>
      <c r="O66" s="52"/>
      <c r="P66" s="52"/>
      <c r="Q66" s="52"/>
      <c r="R66" s="52"/>
      <c r="S66" s="52"/>
      <c r="T66" s="52"/>
      <c r="U66" s="52"/>
      <c r="V66" s="52"/>
      <c r="W66" s="52"/>
      <c r="X66" s="52"/>
      <c r="Y66" s="52"/>
      <c r="Z66" s="52"/>
      <c r="AA66" s="52"/>
      <c r="AB66" s="52"/>
    </row>
    <row r="67" spans="1:28" ht="29.25" customHeight="1" outlineLevel="2" x14ac:dyDescent="0.25">
      <c r="A67" s="66" t="s">
        <v>93</v>
      </c>
      <c r="B67" s="67">
        <f>'data from cereal masterfile'!H60*(H77*0.362+(1-H77)*0.276)</f>
        <v>3.3249153476605464</v>
      </c>
      <c r="C67" s="67">
        <v>0.78119121300000005</v>
      </c>
      <c r="D67" s="67">
        <v>0.43030472700000005</v>
      </c>
      <c r="E67" s="67">
        <f t="shared" si="13"/>
        <v>3.6758018336605458</v>
      </c>
      <c r="F67" s="67">
        <f>E67</f>
        <v>3.6758018336605458</v>
      </c>
      <c r="G67" s="67">
        <f>IF(B67&gt;E67,F67,F67*(B67-D67)/E67)</f>
        <v>2.8946106206605462</v>
      </c>
      <c r="H67" s="68" t="s">
        <v>53</v>
      </c>
      <c r="I67" s="69">
        <f>(B67-D67)*0.3+C67*0.27</f>
        <v>1.0793048137081638</v>
      </c>
      <c r="J67" s="69">
        <f>(B67-D67)*0.3</f>
        <v>0.86838318619816379</v>
      </c>
      <c r="K67" s="26"/>
      <c r="L67" s="26"/>
      <c r="M67" s="6">
        <v>2</v>
      </c>
      <c r="N67" s="52"/>
      <c r="O67" s="52"/>
      <c r="P67" s="52"/>
      <c r="Q67" s="52"/>
      <c r="R67" s="52"/>
      <c r="S67" s="52"/>
      <c r="T67" s="52"/>
      <c r="U67" s="52"/>
      <c r="V67" s="52"/>
      <c r="W67" s="52"/>
      <c r="X67" s="52"/>
      <c r="Y67" s="52"/>
      <c r="Z67" s="52"/>
      <c r="AA67" s="52"/>
      <c r="AB67" s="52"/>
    </row>
    <row r="68" spans="1:28" ht="15" customHeight="1" outlineLevel="2" x14ac:dyDescent="0.25">
      <c r="A68" s="55" t="s">
        <v>94</v>
      </c>
      <c r="B68" s="56">
        <v>6.1677929645500003</v>
      </c>
      <c r="C68" s="56"/>
      <c r="D68" s="56"/>
      <c r="E68" s="56">
        <f>+B68+C68-D68</f>
        <v>6.1677929645500003</v>
      </c>
      <c r="F68" s="56">
        <f>+E68</f>
        <v>6.1677929645500003</v>
      </c>
      <c r="G68" s="56">
        <f>+F68</f>
        <v>6.1677929645500003</v>
      </c>
      <c r="H68" s="57">
        <v>5.3999999999999999E-2</v>
      </c>
      <c r="I68" s="58">
        <f>+F68*$H$68</f>
        <v>0.33306082008570004</v>
      </c>
      <c r="J68" s="58">
        <f>+G68*$H$68</f>
        <v>0.33306082008570004</v>
      </c>
      <c r="K68" s="26"/>
      <c r="L68" s="26"/>
      <c r="M68" s="6">
        <f t="shared" si="14"/>
        <v>1</v>
      </c>
      <c r="N68" s="52"/>
      <c r="O68" s="52"/>
      <c r="P68" s="52"/>
      <c r="Q68" s="52"/>
      <c r="R68" s="52"/>
      <c r="S68" s="52"/>
      <c r="T68" s="52"/>
      <c r="U68" s="52"/>
      <c r="V68" s="52"/>
      <c r="W68" s="52"/>
      <c r="X68" s="52"/>
      <c r="Y68" s="52"/>
      <c r="Z68" s="52"/>
      <c r="AA68" s="52"/>
      <c r="AB68" s="52"/>
    </row>
    <row r="69" spans="1:28" ht="15" customHeight="1" outlineLevel="2" x14ac:dyDescent="0.25">
      <c r="A69" s="55" t="s">
        <v>55</v>
      </c>
      <c r="B69" s="56">
        <f>('data from cereal masterfile'!H63+'data from cereal masterfile'!H65)*0.15</f>
        <v>7.3821930373291575</v>
      </c>
      <c r="C69" s="56">
        <v>3.5240796999999997E-2</v>
      </c>
      <c r="D69" s="56">
        <v>0.24461964300000003</v>
      </c>
      <c r="E69" s="56">
        <f>B69+C69-D69</f>
        <v>7.1728141913291577</v>
      </c>
      <c r="F69" s="56">
        <f>E69</f>
        <v>7.1728141913291577</v>
      </c>
      <c r="G69" s="56">
        <f>IF(B69&gt;E69,F69,F69*(B69-D69)/E69)</f>
        <v>7.1728141913291577</v>
      </c>
      <c r="H69" s="71">
        <v>0.155</v>
      </c>
      <c r="I69" s="58">
        <f>F69*H69</f>
        <v>1.1117861996560194</v>
      </c>
      <c r="J69" s="58">
        <f>G69*H69</f>
        <v>1.1117861996560194</v>
      </c>
      <c r="K69" s="26"/>
      <c r="L69" s="26"/>
      <c r="M69" s="6">
        <f t="shared" si="14"/>
        <v>2</v>
      </c>
      <c r="N69" s="52"/>
      <c r="O69" s="52"/>
      <c r="P69" s="52"/>
      <c r="Q69" s="134"/>
      <c r="R69" s="52"/>
      <c r="S69" s="52"/>
      <c r="T69" s="52"/>
      <c r="U69" s="52"/>
      <c r="V69" s="52"/>
      <c r="W69" s="72"/>
      <c r="X69" s="73"/>
      <c r="Y69" s="73"/>
      <c r="Z69" s="73"/>
      <c r="AA69" s="74"/>
      <c r="AB69" s="74"/>
    </row>
    <row r="70" spans="1:28" ht="15.75" outlineLevel="2" x14ac:dyDescent="0.25">
      <c r="A70" s="55" t="s">
        <v>56</v>
      </c>
      <c r="B70" s="56">
        <v>0</v>
      </c>
      <c r="C70" s="56">
        <v>0.25170514599999999</v>
      </c>
      <c r="D70" s="56">
        <v>1.1034242E-2</v>
      </c>
      <c r="E70" s="56">
        <f>B70+C70-D70</f>
        <v>0.24067090399999999</v>
      </c>
      <c r="F70" s="56">
        <f>E70</f>
        <v>0.24067090399999999</v>
      </c>
      <c r="G70" s="56">
        <f>IF(B70&gt;E70,F70,F70*B70/E70)</f>
        <v>0</v>
      </c>
      <c r="H70" s="57">
        <v>7.4999999999999997E-2</v>
      </c>
      <c r="I70" s="58">
        <f>F70*H70</f>
        <v>1.80503178E-2</v>
      </c>
      <c r="J70" s="58">
        <f>G70*H70</f>
        <v>0</v>
      </c>
      <c r="K70" s="26"/>
      <c r="L70" s="26"/>
      <c r="M70" s="6">
        <f t="shared" si="14"/>
        <v>1</v>
      </c>
      <c r="N70" s="52"/>
      <c r="O70" s="52"/>
      <c r="P70" s="52"/>
      <c r="Q70" s="134"/>
      <c r="R70" s="135"/>
      <c r="S70" s="52"/>
      <c r="T70" s="52"/>
      <c r="U70" s="52"/>
      <c r="V70" s="52"/>
      <c r="W70" s="72"/>
      <c r="X70" s="73"/>
      <c r="Y70" s="72"/>
      <c r="Z70" s="75"/>
      <c r="AA70" s="76"/>
      <c r="AB70" s="74"/>
    </row>
    <row r="71" spans="1:28" ht="15" customHeight="1" outlineLevel="2" x14ac:dyDescent="0.25">
      <c r="A71" s="55" t="s">
        <v>57</v>
      </c>
      <c r="B71" s="56">
        <v>8.3291688352800008</v>
      </c>
      <c r="C71" s="56">
        <v>1.1024509509999998</v>
      </c>
      <c r="D71" s="56">
        <v>0.31092752899999998</v>
      </c>
      <c r="E71" s="56">
        <f>B71+C71-D71</f>
        <v>9.12069225728</v>
      </c>
      <c r="F71" s="56">
        <f>E71</f>
        <v>9.12069225728</v>
      </c>
      <c r="G71" s="56">
        <f>IF(B71&gt;E71,F71,F71*(B71-D71)/E71)</f>
        <v>8.0182413062800002</v>
      </c>
      <c r="H71" s="57">
        <v>7.9000000000000001E-2</v>
      </c>
      <c r="I71" s="58">
        <f>F71*H71</f>
        <v>0.72053468832512002</v>
      </c>
      <c r="J71" s="58">
        <f>G71*H71</f>
        <v>0.63344106319612004</v>
      </c>
      <c r="K71" s="26"/>
      <c r="L71" s="26"/>
      <c r="M71" s="6">
        <f t="shared" si="14"/>
        <v>1</v>
      </c>
      <c r="N71" s="52"/>
      <c r="O71" s="52"/>
      <c r="P71" s="52"/>
      <c r="Q71" s="52"/>
      <c r="R71" s="52"/>
      <c r="S71" s="52"/>
      <c r="T71" s="52"/>
      <c r="U71" s="52"/>
      <c r="V71" s="52"/>
      <c r="W71" s="52"/>
      <c r="X71" s="52"/>
      <c r="Y71" s="52"/>
      <c r="Z71" s="52"/>
      <c r="AA71" s="52"/>
      <c r="AB71" s="52"/>
    </row>
    <row r="72" spans="1:28" ht="30" customHeight="1" outlineLevel="2" x14ac:dyDescent="0.25">
      <c r="A72" s="66" t="s">
        <v>58</v>
      </c>
      <c r="B72" s="67">
        <v>4.3180164751320005</v>
      </c>
      <c r="C72" s="67">
        <v>1.3811808090000002</v>
      </c>
      <c r="D72" s="67">
        <v>0.19362046899999999</v>
      </c>
      <c r="E72" s="67">
        <f>B72+C72-D72</f>
        <v>5.5055768151320006</v>
      </c>
      <c r="F72" s="67">
        <f>E72*0.32</f>
        <v>1.7617845808422403</v>
      </c>
      <c r="G72" s="67">
        <f>+IF(B72&gt;F72,F72,B72-D72)</f>
        <v>1.7617845808422403</v>
      </c>
      <c r="H72" s="77" t="s">
        <v>95</v>
      </c>
      <c r="I72" s="69">
        <f>G72*0.107+(F72-G72)*0.042</f>
        <v>0.1885109501501197</v>
      </c>
      <c r="J72" s="69">
        <f>G72*0.107</f>
        <v>0.1885109501501197</v>
      </c>
      <c r="K72" s="26"/>
      <c r="L72" s="26"/>
      <c r="M72" s="6">
        <v>1</v>
      </c>
      <c r="N72" s="52"/>
      <c r="O72" s="52"/>
      <c r="P72" s="52"/>
      <c r="Q72" s="52"/>
      <c r="R72" s="52"/>
      <c r="S72" s="52"/>
      <c r="T72" s="52"/>
      <c r="U72" s="52"/>
      <c r="V72" s="52"/>
      <c r="W72" s="52"/>
      <c r="X72" s="52"/>
      <c r="Y72" s="52"/>
      <c r="Z72" s="52"/>
      <c r="AA72" s="52"/>
      <c r="AB72" s="52"/>
    </row>
    <row r="73" spans="1:28" ht="12.75" customHeight="1" x14ac:dyDescent="0.25">
      <c r="A73" s="20"/>
      <c r="B73" s="21"/>
      <c r="C73" s="21"/>
      <c r="D73" s="21"/>
      <c r="E73" s="21"/>
      <c r="F73" s="22"/>
      <c r="G73" s="22"/>
      <c r="H73" s="23"/>
      <c r="I73" s="24"/>
      <c r="J73" s="25"/>
      <c r="K73" s="26"/>
      <c r="L73" s="26"/>
      <c r="M73" s="6"/>
      <c r="N73" s="52"/>
      <c r="O73" s="52"/>
      <c r="P73" s="52"/>
      <c r="Q73" s="52"/>
      <c r="R73" s="52"/>
      <c r="S73" s="52"/>
      <c r="T73" s="52"/>
      <c r="U73" s="52"/>
      <c r="V73" s="52"/>
      <c r="W73" s="52"/>
      <c r="X73" s="52"/>
      <c r="Y73" s="52"/>
      <c r="Z73" s="52"/>
      <c r="AA73" s="52"/>
      <c r="AB73" s="52"/>
    </row>
    <row r="74" spans="1:28" ht="36.75" customHeight="1" x14ac:dyDescent="0.25">
      <c r="A74" s="27" t="s">
        <v>60</v>
      </c>
      <c r="B74" s="28"/>
      <c r="C74" s="28"/>
      <c r="D74" s="28"/>
      <c r="E74" s="28"/>
      <c r="F74" s="29">
        <f>SUM(F76:F80)</f>
        <v>6.4535952752068084</v>
      </c>
      <c r="G74" s="29">
        <f>SUM(G76:G80)</f>
        <v>6.3191925016105088</v>
      </c>
      <c r="H74" s="30"/>
      <c r="I74" s="30">
        <f>SUM(I76:I80)</f>
        <v>1.9562198878508417</v>
      </c>
      <c r="J74" s="30">
        <f>SUM(J76:J80)</f>
        <v>1.8724869599003471</v>
      </c>
      <c r="K74" s="31">
        <f>IF(I74=0,0,J74/I74)</f>
        <v>0.9571965664644756</v>
      </c>
      <c r="L74" s="31">
        <f>+I74/$I$89</f>
        <v>2.6628761991056744E-2</v>
      </c>
      <c r="M74" s="6"/>
      <c r="N74" s="52"/>
      <c r="O74" s="52"/>
      <c r="P74" s="52"/>
      <c r="Q74" s="52"/>
      <c r="R74" s="52"/>
      <c r="S74" s="52"/>
      <c r="T74" s="52"/>
      <c r="U74" s="52"/>
      <c r="V74" s="52"/>
      <c r="W74" s="52"/>
      <c r="X74" s="52"/>
      <c r="Y74" s="52"/>
      <c r="Z74" s="52"/>
      <c r="AA74" s="52"/>
      <c r="AB74" s="52"/>
    </row>
    <row r="75" spans="1:28" ht="15" customHeight="1" outlineLevel="1" x14ac:dyDescent="0.25">
      <c r="A75" s="20" t="s">
        <v>61</v>
      </c>
      <c r="B75" s="21"/>
      <c r="C75" s="21"/>
      <c r="D75" s="21"/>
      <c r="E75" s="21"/>
      <c r="F75" s="22"/>
      <c r="G75" s="22"/>
      <c r="H75" s="23"/>
      <c r="I75" s="24"/>
      <c r="J75" s="25"/>
      <c r="K75" s="26"/>
      <c r="L75" s="26"/>
      <c r="M75" s="6"/>
      <c r="N75" s="52"/>
      <c r="O75" s="52"/>
      <c r="P75" s="52"/>
      <c r="Q75" s="52"/>
      <c r="R75" s="52"/>
      <c r="S75" s="52"/>
      <c r="T75" s="52"/>
      <c r="U75" s="52"/>
      <c r="V75" s="52"/>
      <c r="W75" s="52"/>
      <c r="X75" s="52"/>
      <c r="Y75" s="52"/>
      <c r="Z75" s="52"/>
      <c r="AA75" s="52"/>
      <c r="AB75" s="52"/>
    </row>
    <row r="76" spans="1:28" ht="15" customHeight="1" outlineLevel="1" x14ac:dyDescent="0.25">
      <c r="A76" s="55" t="s">
        <v>96</v>
      </c>
      <c r="B76" s="56">
        <v>0.44700000000000001</v>
      </c>
      <c r="C76" s="56">
        <v>0.157502208</v>
      </c>
      <c r="D76" s="56">
        <v>0.17135289699999998</v>
      </c>
      <c r="E76" s="56">
        <f>B76+C76-D76</f>
        <v>0.43314931099999998</v>
      </c>
      <c r="F76" s="56">
        <f>E76</f>
        <v>0.43314931099999998</v>
      </c>
      <c r="G76" s="56">
        <f>IF(B76&gt;E76,F76,F76*B76/E76)</f>
        <v>0.43314931099999998</v>
      </c>
      <c r="H76" s="65">
        <v>0.65</v>
      </c>
      <c r="I76" s="58">
        <f>F76*H76</f>
        <v>0.28154705214999998</v>
      </c>
      <c r="J76" s="58">
        <f>G76*H76</f>
        <v>0.28154705214999998</v>
      </c>
      <c r="K76" s="26"/>
      <c r="L76" s="26"/>
      <c r="M76" s="6">
        <f>+IF(H76&lt;15%,1,IF(H76&lt;30%,2,IF(H76&lt;50%,3,4)))</f>
        <v>4</v>
      </c>
      <c r="N76" s="52"/>
      <c r="O76" s="52"/>
      <c r="P76" s="52"/>
      <c r="Q76" s="52"/>
      <c r="R76" s="52"/>
      <c r="S76" s="52"/>
      <c r="T76" s="52"/>
      <c r="U76" s="52"/>
      <c r="V76" s="52"/>
      <c r="W76" s="52"/>
      <c r="X76" s="52"/>
      <c r="Y76" s="52"/>
      <c r="Z76" s="52"/>
      <c r="AA76" s="52"/>
      <c r="AB76" s="52"/>
    </row>
    <row r="77" spans="1:28" ht="15.75" outlineLevel="1" x14ac:dyDescent="0.25">
      <c r="A77" s="55" t="s">
        <v>97</v>
      </c>
      <c r="B77" s="56">
        <v>1.9092541491959232</v>
      </c>
      <c r="C77" s="56">
        <v>0.13984568000000003</v>
      </c>
      <c r="D77" s="56">
        <v>0.73183406499999992</v>
      </c>
      <c r="E77" s="56">
        <f>B77+C77-D77</f>
        <v>1.3172657641959231</v>
      </c>
      <c r="F77" s="56">
        <v>0.9</v>
      </c>
      <c r="G77" s="56">
        <v>0.9</v>
      </c>
      <c r="H77" s="57">
        <v>0.125</v>
      </c>
      <c r="I77" s="58">
        <f>F77*H77</f>
        <v>0.1125</v>
      </c>
      <c r="J77" s="58">
        <f>G77*H77</f>
        <v>0.1125</v>
      </c>
      <c r="K77" s="26"/>
      <c r="L77" s="26"/>
      <c r="M77" s="6">
        <f>+IF(H77&lt;15%,1,IF(H77&lt;30%,2,IF(H77&lt;50%,3,4)))</f>
        <v>1</v>
      </c>
      <c r="N77" s="52"/>
      <c r="O77" s="52"/>
      <c r="P77" s="52"/>
      <c r="Q77" s="52"/>
      <c r="R77" s="52"/>
      <c r="S77" s="52"/>
      <c r="T77" s="52"/>
      <c r="U77" s="52"/>
      <c r="V77" s="52"/>
      <c r="W77" s="52"/>
      <c r="X77" s="52"/>
      <c r="Y77" s="52"/>
      <c r="Z77" s="52"/>
      <c r="AA77" s="52"/>
      <c r="AB77" s="52"/>
    </row>
    <row r="78" spans="1:28" ht="15" customHeight="1" outlineLevel="1" x14ac:dyDescent="0.25">
      <c r="A78" s="55" t="s">
        <v>98</v>
      </c>
      <c r="B78" s="56">
        <v>1.4570970736282194</v>
      </c>
      <c r="C78" s="56">
        <v>5.4888026999999999E-2</v>
      </c>
      <c r="D78" s="56">
        <v>0.75836766</v>
      </c>
      <c r="E78" s="56">
        <f>B78+C78-D78</f>
        <v>0.75361744062821945</v>
      </c>
      <c r="F78" s="56">
        <v>0.155</v>
      </c>
      <c r="G78" s="56">
        <f>+F78</f>
        <v>0.155</v>
      </c>
      <c r="H78" s="61">
        <v>0.34</v>
      </c>
      <c r="I78" s="58">
        <f>F78*H78</f>
        <v>5.2700000000000004E-2</v>
      </c>
      <c r="J78" s="58">
        <f>G78*H78</f>
        <v>5.2700000000000004E-2</v>
      </c>
      <c r="K78" s="26"/>
      <c r="L78" s="26"/>
      <c r="M78" s="6">
        <f>+IF(H78&lt;15%,1,IF(H78&lt;30%,2,IF(H78&lt;50%,3,4)))</f>
        <v>3</v>
      </c>
      <c r="N78" s="52"/>
      <c r="O78" s="52"/>
      <c r="P78" s="52"/>
      <c r="Q78" s="52"/>
      <c r="R78" s="52"/>
      <c r="S78" s="52"/>
      <c r="T78" s="52"/>
      <c r="U78" s="52"/>
      <c r="V78" s="52"/>
      <c r="W78" s="52"/>
      <c r="X78" s="52"/>
      <c r="Y78" s="52"/>
      <c r="Z78" s="52"/>
      <c r="AA78" s="52"/>
      <c r="AB78" s="52"/>
    </row>
    <row r="79" spans="1:28" ht="15" customHeight="1" outlineLevel="1" x14ac:dyDescent="0.25">
      <c r="A79" s="55" t="s">
        <v>99</v>
      </c>
      <c r="B79" s="56">
        <v>2.8798150810108529</v>
      </c>
      <c r="C79" s="56">
        <v>0.13447905599999999</v>
      </c>
      <c r="D79" s="56">
        <v>1.0771811499999999</v>
      </c>
      <c r="E79" s="56">
        <v>2.4135117477982533</v>
      </c>
      <c r="F79" s="56">
        <v>1.9654459642068085</v>
      </c>
      <c r="G79" s="56">
        <v>1.8310431906105087</v>
      </c>
      <c r="H79" s="65">
        <v>0.623</v>
      </c>
      <c r="I79" s="58">
        <f>F79*H79</f>
        <v>1.2244728357008416</v>
      </c>
      <c r="J79" s="58">
        <f>G79*H79</f>
        <v>1.1407399077503468</v>
      </c>
      <c r="K79" s="78"/>
      <c r="L79" s="78"/>
      <c r="M79" s="6">
        <f>+IF(H79&lt;15%,1,IF(H79&lt;30%,2,IF(H79&lt;50%,3,4)))</f>
        <v>4</v>
      </c>
      <c r="N79" s="52"/>
      <c r="O79" s="52"/>
      <c r="P79" s="52"/>
      <c r="Q79" s="52"/>
      <c r="R79" s="52"/>
      <c r="S79" s="52"/>
      <c r="T79" s="52"/>
      <c r="U79" s="52"/>
      <c r="V79" s="52"/>
      <c r="W79" s="52"/>
      <c r="X79" s="52"/>
      <c r="Y79" s="52"/>
      <c r="Z79" s="52"/>
      <c r="AA79" s="52"/>
      <c r="AB79" s="52"/>
    </row>
    <row r="80" spans="1:28" ht="15" customHeight="1" outlineLevel="1" x14ac:dyDescent="0.25">
      <c r="A80" s="55" t="s">
        <v>100</v>
      </c>
      <c r="B80" s="79"/>
      <c r="C80" s="79"/>
      <c r="D80" s="79"/>
      <c r="E80" s="79"/>
      <c r="F80" s="79">
        <v>3</v>
      </c>
      <c r="G80" s="79">
        <v>3</v>
      </c>
      <c r="H80" s="57">
        <f>0.095</f>
        <v>9.5000000000000001E-2</v>
      </c>
      <c r="I80" s="58">
        <f>F80*H80</f>
        <v>0.28500000000000003</v>
      </c>
      <c r="J80" s="58">
        <f>G80*H80</f>
        <v>0.28500000000000003</v>
      </c>
      <c r="K80" s="26"/>
      <c r="L80" s="26"/>
      <c r="M80" s="6">
        <f>+IF(H80&lt;15%,1,IF(H80&lt;30%,2,IF(H80&lt;50%,3,4)))</f>
        <v>1</v>
      </c>
    </row>
    <row r="81" spans="1:28" ht="12.75" customHeight="1" x14ac:dyDescent="0.25">
      <c r="A81" s="80"/>
      <c r="B81" s="24"/>
      <c r="C81" s="24"/>
      <c r="D81" s="24"/>
      <c r="E81" s="24"/>
      <c r="F81" s="25"/>
      <c r="G81" s="25"/>
      <c r="H81" s="81"/>
      <c r="I81" s="24"/>
      <c r="J81" s="25"/>
      <c r="K81" s="26"/>
      <c r="L81" s="26"/>
      <c r="M81" s="6"/>
    </row>
    <row r="82" spans="1:28" ht="35.25" customHeight="1" x14ac:dyDescent="0.25">
      <c r="A82" s="27" t="s">
        <v>67</v>
      </c>
      <c r="B82" s="28"/>
      <c r="C82" s="28"/>
      <c r="D82" s="28"/>
      <c r="E82" s="28"/>
      <c r="F82" s="82">
        <f>SUM(F84:F87)</f>
        <v>974.89818537714291</v>
      </c>
      <c r="G82" s="82">
        <f>SUM(G84:G87)</f>
        <v>974.89818537714291</v>
      </c>
      <c r="H82" s="30"/>
      <c r="I82" s="82">
        <f>SUM(I84:I87)</f>
        <v>29.873622587549807</v>
      </c>
      <c r="J82" s="82">
        <f>SUM(J84:J87)</f>
        <v>29.873622587549807</v>
      </c>
      <c r="K82" s="31">
        <f>IF(I82=0,0,J82/I82)</f>
        <v>1</v>
      </c>
      <c r="L82" s="31">
        <f>+I82/$I$89</f>
        <v>0.40665039274724718</v>
      </c>
      <c r="M82" s="6"/>
    </row>
    <row r="83" spans="1:28" ht="15" customHeight="1" outlineLevel="1" x14ac:dyDescent="0.25">
      <c r="A83" s="83"/>
      <c r="B83" s="84"/>
      <c r="C83" s="84"/>
      <c r="D83" s="84"/>
      <c r="E83" s="84"/>
      <c r="F83" s="85"/>
      <c r="G83" s="85"/>
      <c r="H83" s="86"/>
      <c r="I83" s="87"/>
      <c r="J83" s="88"/>
      <c r="K83" s="89"/>
      <c r="L83" s="90"/>
      <c r="M83" s="6"/>
    </row>
    <row r="84" spans="1:28" ht="15" customHeight="1" outlineLevel="1" x14ac:dyDescent="0.25">
      <c r="A84" s="55" t="s">
        <v>68</v>
      </c>
      <c r="B84" s="79">
        <v>645.39763536674263</v>
      </c>
      <c r="C84" s="79"/>
      <c r="D84" s="79"/>
      <c r="E84" s="79">
        <f>+B84+C84-D84</f>
        <v>645.39763536674263</v>
      </c>
      <c r="F84" s="79">
        <f t="shared" ref="F84:G86" si="15">+E84</f>
        <v>645.39763536674263</v>
      </c>
      <c r="G84" s="79">
        <f t="shared" si="15"/>
        <v>645.39763536674263</v>
      </c>
      <c r="H84" s="57">
        <v>2.6066712037040814E-2</v>
      </c>
      <c r="I84" s="79">
        <f>+F84*H84</f>
        <v>16.823394310491949</v>
      </c>
      <c r="J84" s="79">
        <f>+H84*G84</f>
        <v>16.823394310491949</v>
      </c>
      <c r="K84" s="93"/>
      <c r="L84" s="93"/>
      <c r="M84" s="6">
        <f>+IF(H84&lt;15%,1,IF(H84&lt;30%,2,IF(H84&lt;50%,3,4)))</f>
        <v>1</v>
      </c>
    </row>
    <row r="85" spans="1:28" s="96" customFormat="1" ht="15" customHeight="1" outlineLevel="1" x14ac:dyDescent="0.2">
      <c r="A85" s="55" t="s">
        <v>69</v>
      </c>
      <c r="B85" s="79">
        <v>255.43404000000001</v>
      </c>
      <c r="C85" s="79"/>
      <c r="D85" s="79"/>
      <c r="E85" s="79">
        <f>+B85+C85-D85</f>
        <v>255.43404000000001</v>
      </c>
      <c r="F85" s="79">
        <f t="shared" si="15"/>
        <v>255.43404000000001</v>
      </c>
      <c r="G85" s="79">
        <f t="shared" si="15"/>
        <v>255.43404000000001</v>
      </c>
      <c r="H85" s="57">
        <v>2.9487499999999996E-2</v>
      </c>
      <c r="I85" s="79">
        <f>+F85*H85</f>
        <v>7.5321112544999993</v>
      </c>
      <c r="J85" s="79">
        <f>+H85*G85</f>
        <v>7.5321112544999993</v>
      </c>
      <c r="K85" s="94"/>
      <c r="L85" s="94"/>
      <c r="M85" s="6">
        <f>+IF(H85&lt;15%,1,IF(H85&lt;30%,2,IF(H85&lt;50%,3,4)))</f>
        <v>1</v>
      </c>
      <c r="N85" s="95"/>
      <c r="O85" s="95"/>
      <c r="P85" s="95"/>
      <c r="Q85" s="95"/>
      <c r="R85" s="95"/>
      <c r="S85" s="95"/>
      <c r="T85" s="95"/>
      <c r="U85" s="95"/>
      <c r="V85" s="95"/>
      <c r="W85" s="95"/>
      <c r="X85" s="95"/>
      <c r="Y85" s="95"/>
      <c r="Z85" s="95"/>
      <c r="AA85" s="95"/>
      <c r="AB85" s="95"/>
    </row>
    <row r="86" spans="1:28" ht="15" customHeight="1" outlineLevel="1" x14ac:dyDescent="0.25">
      <c r="A86" s="55" t="s">
        <v>70</v>
      </c>
      <c r="B86" s="79">
        <v>72.249128490400281</v>
      </c>
      <c r="C86" s="79"/>
      <c r="D86" s="79"/>
      <c r="E86" s="79">
        <f>+B86+C86-D86</f>
        <v>72.249128490400281</v>
      </c>
      <c r="F86" s="79">
        <f t="shared" si="15"/>
        <v>72.249128490400281</v>
      </c>
      <c r="G86" s="79">
        <f t="shared" si="15"/>
        <v>72.249128490400281</v>
      </c>
      <c r="H86" s="57">
        <v>7.2099999999999997E-2</v>
      </c>
      <c r="I86" s="79">
        <f>+F86*H86</f>
        <v>5.2091621641578598</v>
      </c>
      <c r="J86" s="79">
        <f>+H86*G86</f>
        <v>5.2091621641578598</v>
      </c>
      <c r="K86" s="94"/>
      <c r="L86" s="94"/>
      <c r="M86" s="6">
        <f>+IF(H86&lt;15%,1,IF(H86&lt;30%,2,IF(H86&lt;50%,3,4)))</f>
        <v>1</v>
      </c>
    </row>
    <row r="87" spans="1:28" s="136" customFormat="1" ht="14.25" customHeight="1" outlineLevel="1" x14ac:dyDescent="0.2">
      <c r="A87" s="55" t="s">
        <v>101</v>
      </c>
      <c r="B87" s="56">
        <v>3.3787129999999994</v>
      </c>
      <c r="C87" s="56">
        <v>1.9844687E-2</v>
      </c>
      <c r="D87" s="56">
        <v>1.5811761670000002</v>
      </c>
      <c r="E87" s="56">
        <f>B87+C87-D87</f>
        <v>1.8173815199999992</v>
      </c>
      <c r="F87" s="56">
        <f>E87</f>
        <v>1.8173815199999992</v>
      </c>
      <c r="G87" s="56">
        <f>IF(B87&gt;E87,F87,F87*B87/E87)</f>
        <v>1.8173815199999992</v>
      </c>
      <c r="H87" s="71">
        <v>0.17</v>
      </c>
      <c r="I87" s="56">
        <f>F87*H87</f>
        <v>0.30895485839999987</v>
      </c>
      <c r="J87" s="56">
        <f>G87*H87</f>
        <v>0.30895485839999987</v>
      </c>
      <c r="K87" s="94"/>
      <c r="L87" s="94"/>
      <c r="M87" s="6">
        <f>+IF(H87&lt;15%,1,IF(H87&lt;30%,2,IF(H87&lt;50%,3,4)))</f>
        <v>2</v>
      </c>
    </row>
    <row r="88" spans="1:28" ht="12.75" customHeight="1" x14ac:dyDescent="0.25">
      <c r="A88" s="80"/>
      <c r="B88" s="21"/>
      <c r="C88" s="21"/>
      <c r="D88" s="21"/>
      <c r="E88" s="21"/>
      <c r="F88" s="22"/>
      <c r="G88" s="22"/>
      <c r="H88" s="23"/>
      <c r="I88" s="24"/>
      <c r="J88" s="25"/>
      <c r="K88" s="26"/>
      <c r="L88" s="26"/>
      <c r="M88" s="6"/>
    </row>
    <row r="89" spans="1:28" ht="36.75" customHeight="1" x14ac:dyDescent="0.25">
      <c r="A89" s="27" t="s">
        <v>72</v>
      </c>
      <c r="B89" s="28"/>
      <c r="C89" s="28"/>
      <c r="D89" s="28"/>
      <c r="E89" s="28"/>
      <c r="F89" s="82"/>
      <c r="G89" s="82"/>
      <c r="H89" s="30"/>
      <c r="I89" s="82">
        <f>+I74+I82+I34+I6</f>
        <v>73.462667491182543</v>
      </c>
      <c r="J89" s="82">
        <f>+J74+J82+J34+J6</f>
        <v>56.880382701740245</v>
      </c>
      <c r="K89" s="31">
        <f>IF(I89=0,0,J89/I89)</f>
        <v>0.77427603222503993</v>
      </c>
      <c r="L89" s="31"/>
      <c r="M89" s="6"/>
      <c r="O89" s="137"/>
    </row>
    <row r="90" spans="1:28" x14ac:dyDescent="0.25">
      <c r="A90" s="97" t="s">
        <v>73</v>
      </c>
      <c r="B90" s="98"/>
      <c r="C90" s="98"/>
      <c r="D90" s="98"/>
      <c r="E90" s="98"/>
      <c r="F90" s="98"/>
      <c r="G90" s="98"/>
      <c r="H90" s="99"/>
      <c r="I90" s="5"/>
      <c r="J90" s="5"/>
      <c r="K90" s="5"/>
      <c r="L90" s="5"/>
      <c r="M90" s="6"/>
    </row>
    <row r="91" spans="1:28" x14ac:dyDescent="0.25">
      <c r="A91" s="100" t="s">
        <v>74</v>
      </c>
      <c r="B91" s="101"/>
      <c r="C91" s="102"/>
      <c r="D91" s="102"/>
      <c r="E91" s="103"/>
      <c r="F91" s="103"/>
      <c r="G91" s="103"/>
      <c r="H91" s="104">
        <v>1</v>
      </c>
      <c r="I91" s="105">
        <f t="shared" ref="I91:J94" si="16">+SUMIF($M$7:$M$89,$H91,I$7:I$89)</f>
        <v>46.993624713111508</v>
      </c>
      <c r="J91" s="105">
        <f t="shared" si="16"/>
        <v>45.266371086802245</v>
      </c>
      <c r="K91" s="106">
        <f>+J91/I91</f>
        <v>0.96324493722597759</v>
      </c>
      <c r="L91" s="5"/>
      <c r="M91" s="6"/>
    </row>
    <row r="92" spans="1:28" x14ac:dyDescent="0.25">
      <c r="A92" s="107" t="s">
        <v>75</v>
      </c>
      <c r="B92" s="108"/>
      <c r="C92" s="109"/>
      <c r="D92" s="109"/>
      <c r="E92" s="110"/>
      <c r="F92" s="110"/>
      <c r="G92" s="110"/>
      <c r="H92" s="111">
        <v>2</v>
      </c>
      <c r="I92" s="112">
        <f t="shared" si="16"/>
        <v>4.3458037217241623</v>
      </c>
      <c r="J92" s="112">
        <f t="shared" si="16"/>
        <v>3.8382921952884921</v>
      </c>
      <c r="K92" s="113">
        <f>+J92/I92</f>
        <v>0.88321802848603592</v>
      </c>
      <c r="L92" s="5"/>
      <c r="M92" s="6"/>
    </row>
    <row r="93" spans="1:28" x14ac:dyDescent="0.25">
      <c r="A93" s="114" t="s">
        <v>76</v>
      </c>
      <c r="B93" s="110"/>
      <c r="C93" s="110"/>
      <c r="D93" s="110"/>
      <c r="E93" s="110"/>
      <c r="F93" s="110"/>
      <c r="G93" s="110"/>
      <c r="H93" s="115">
        <v>3</v>
      </c>
      <c r="I93" s="112">
        <f t="shared" si="16"/>
        <v>19.935579521034509</v>
      </c>
      <c r="J93" s="112">
        <f t="shared" si="16"/>
        <v>5.8592928122876353</v>
      </c>
      <c r="K93" s="113">
        <f>+J93/I93</f>
        <v>0.29391133606652142</v>
      </c>
      <c r="L93" s="5"/>
      <c r="M93" s="6"/>
    </row>
    <row r="94" spans="1:28" x14ac:dyDescent="0.25">
      <c r="A94" s="116" t="s">
        <v>77</v>
      </c>
      <c r="B94" s="117"/>
      <c r="C94" s="117"/>
      <c r="D94" s="117"/>
      <c r="E94" s="117"/>
      <c r="F94" s="117"/>
      <c r="G94" s="117"/>
      <c r="H94" s="118">
        <v>4</v>
      </c>
      <c r="I94" s="119">
        <f t="shared" si="16"/>
        <v>2.187659535312374</v>
      </c>
      <c r="J94" s="119">
        <f t="shared" si="16"/>
        <v>1.9164266073618794</v>
      </c>
      <c r="K94" s="120">
        <f>+J94/I94</f>
        <v>0.87601684651000067</v>
      </c>
      <c r="L94" s="5"/>
      <c r="M94" s="6"/>
    </row>
    <row r="95" spans="1:28" ht="25.5" customHeight="1" x14ac:dyDescent="0.25">
      <c r="A95" s="303" t="s">
        <v>78</v>
      </c>
      <c r="B95" s="304"/>
      <c r="C95" s="304"/>
      <c r="D95" s="304"/>
      <c r="E95" s="304"/>
      <c r="F95" s="304"/>
      <c r="G95" s="304"/>
      <c r="H95" s="304"/>
      <c r="I95" s="304"/>
      <c r="J95" s="304"/>
      <c r="K95" s="304"/>
      <c r="L95" s="304"/>
      <c r="M95" s="6"/>
    </row>
    <row r="96" spans="1:28" x14ac:dyDescent="0.25">
      <c r="A96" s="5"/>
      <c r="B96" s="98"/>
      <c r="C96" s="98"/>
      <c r="D96" s="98"/>
      <c r="E96" s="98"/>
      <c r="F96" s="98"/>
      <c r="G96" s="98"/>
      <c r="H96" s="99"/>
      <c r="I96" s="5"/>
      <c r="J96" s="5"/>
      <c r="K96" s="5"/>
      <c r="L96" s="5"/>
      <c r="M96" s="6"/>
    </row>
  </sheetData>
  <mergeCells count="4">
    <mergeCell ref="B3:G3"/>
    <mergeCell ref="H3:H4"/>
    <mergeCell ref="I3:J3"/>
    <mergeCell ref="A95:L95"/>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B96"/>
  <sheetViews>
    <sheetView zoomScale="80" zoomScaleNormal="80" workbookViewId="0"/>
  </sheetViews>
  <sheetFormatPr defaultRowHeight="15.75" outlineLevelRow="2" outlineLevelCol="1" x14ac:dyDescent="0.25"/>
  <cols>
    <col min="1" max="1" width="46.42578125" customWidth="1"/>
    <col min="2" max="2" width="12.85546875" style="121" customWidth="1" outlineLevel="1"/>
    <col min="3" max="3" width="10.28515625" style="121" customWidth="1" outlineLevel="1"/>
    <col min="4" max="4" width="10.85546875" style="121" customWidth="1" outlineLevel="1"/>
    <col min="5" max="5" width="11" style="121" customWidth="1" outlineLevel="1"/>
    <col min="6" max="6" width="15.42578125" style="121" customWidth="1"/>
    <col min="7" max="7" width="14.85546875" style="121" customWidth="1"/>
    <col min="8" max="8" width="11.140625" style="122" customWidth="1"/>
    <col min="9" max="11" width="12.28515625" customWidth="1"/>
    <col min="12" max="12" width="11.42578125" customWidth="1"/>
    <col min="13" max="13" width="11.42578125" style="123" customWidth="1"/>
    <col min="14" max="14" width="11.85546875" customWidth="1"/>
    <col min="15" max="15" width="8.7109375" style="138"/>
    <col min="17" max="17" width="12.42578125" customWidth="1"/>
  </cols>
  <sheetData>
    <row r="1" spans="1:17" s="126" customFormat="1" ht="15" x14ac:dyDescent="0.25">
      <c r="A1" s="1" t="str">
        <f>"Updated on " &amp; TEXT(Updates!B2,"[$-0809]dd mmm yyyy")</f>
        <v>Updated on 11 Nov 2022</v>
      </c>
      <c r="B1" s="130"/>
      <c r="C1" s="130"/>
      <c r="D1" s="130"/>
      <c r="E1" s="130"/>
      <c r="F1" s="130"/>
      <c r="G1" s="130"/>
      <c r="H1" s="131"/>
      <c r="I1" s="132"/>
      <c r="J1" s="132"/>
      <c r="K1" s="132"/>
      <c r="L1" s="35"/>
      <c r="M1" s="133"/>
    </row>
    <row r="2" spans="1:17" ht="45" x14ac:dyDescent="0.25">
      <c r="A2" s="8" t="s">
        <v>80</v>
      </c>
      <c r="B2" s="9"/>
      <c r="C2" s="9"/>
      <c r="D2" s="9"/>
      <c r="E2" s="9"/>
      <c r="F2" s="9"/>
      <c r="G2" s="9"/>
      <c r="H2" s="9"/>
      <c r="I2" s="9"/>
      <c r="J2" s="9"/>
      <c r="K2" s="9"/>
      <c r="L2" s="5"/>
      <c r="M2" s="6"/>
    </row>
    <row r="3" spans="1:17" ht="44.25" customHeight="1" x14ac:dyDescent="0.25">
      <c r="A3" s="10" t="s">
        <v>103</v>
      </c>
      <c r="B3" s="305" t="s">
        <v>2</v>
      </c>
      <c r="C3" s="306"/>
      <c r="D3" s="306"/>
      <c r="E3" s="306"/>
      <c r="F3" s="306"/>
      <c r="G3" s="307"/>
      <c r="H3" s="308" t="s">
        <v>3</v>
      </c>
      <c r="I3" s="301" t="s">
        <v>4</v>
      </c>
      <c r="J3" s="302"/>
      <c r="K3" s="11"/>
      <c r="L3" s="12"/>
      <c r="M3" s="6"/>
    </row>
    <row r="4" spans="1:17" ht="50.25" customHeight="1" x14ac:dyDescent="0.25">
      <c r="A4" s="14" t="s">
        <v>6</v>
      </c>
      <c r="B4" s="15" t="s">
        <v>7</v>
      </c>
      <c r="C4" s="15" t="s">
        <v>8</v>
      </c>
      <c r="D4" s="16" t="s">
        <v>9</v>
      </c>
      <c r="E4" s="16" t="s">
        <v>10</v>
      </c>
      <c r="F4" s="16" t="s">
        <v>11</v>
      </c>
      <c r="G4" s="16" t="s">
        <v>12</v>
      </c>
      <c r="H4" s="309"/>
      <c r="I4" s="17" t="s">
        <v>13</v>
      </c>
      <c r="J4" s="17" t="s">
        <v>14</v>
      </c>
      <c r="K4" s="16" t="s">
        <v>15</v>
      </c>
      <c r="L4" s="15" t="s">
        <v>16</v>
      </c>
      <c r="M4" s="6"/>
    </row>
    <row r="5" spans="1:17" ht="10.5" customHeight="1" x14ac:dyDescent="0.25">
      <c r="A5" s="20"/>
      <c r="B5" s="21"/>
      <c r="C5" s="21"/>
      <c r="D5" s="21"/>
      <c r="E5" s="21"/>
      <c r="F5" s="22"/>
      <c r="G5" s="22"/>
      <c r="H5" s="23"/>
      <c r="I5" s="24"/>
      <c r="J5" s="25"/>
      <c r="K5" s="26"/>
      <c r="L5" s="26"/>
      <c r="M5" s="6"/>
    </row>
    <row r="6" spans="1:17" ht="36" customHeight="1" x14ac:dyDescent="0.25">
      <c r="A6" s="27" t="s">
        <v>18</v>
      </c>
      <c r="B6" s="28"/>
      <c r="C6" s="28"/>
      <c r="D6" s="28"/>
      <c r="E6" s="28"/>
      <c r="F6" s="29">
        <f>F9+F21+F27</f>
        <v>165.96816047557289</v>
      </c>
      <c r="G6" s="29">
        <f>G9+G21+G27</f>
        <v>147.69438342885536</v>
      </c>
      <c r="H6" s="30"/>
      <c r="I6" s="30">
        <f>I9+I21+I27</f>
        <v>16.983083863479802</v>
      </c>
      <c r="J6" s="30">
        <f>J9+J21+J27</f>
        <v>15.272216120635742</v>
      </c>
      <c r="K6" s="31">
        <f>J6/I6</f>
        <v>0.89926047845037804</v>
      </c>
      <c r="L6" s="31">
        <f>+I6/$I$89</f>
        <v>0.23251140928525624</v>
      </c>
      <c r="M6" s="6"/>
    </row>
    <row r="7" spans="1:17" ht="8.25" customHeight="1" x14ac:dyDescent="0.25">
      <c r="A7" s="20"/>
      <c r="B7" s="21"/>
      <c r="C7" s="21"/>
      <c r="D7" s="21"/>
      <c r="E7" s="21"/>
      <c r="F7" s="22"/>
      <c r="G7" s="22"/>
      <c r="H7" s="23"/>
      <c r="I7" s="24"/>
      <c r="J7" s="25"/>
      <c r="K7" s="26"/>
      <c r="L7" s="26"/>
      <c r="M7" s="6"/>
    </row>
    <row r="8" spans="1:17" ht="8.25" hidden="1" customHeight="1" x14ac:dyDescent="0.25">
      <c r="A8" s="38"/>
      <c r="B8" s="39"/>
      <c r="C8" s="39"/>
      <c r="D8" s="39"/>
      <c r="E8" s="39"/>
      <c r="F8" s="40"/>
      <c r="G8" s="40"/>
      <c r="H8" s="41"/>
      <c r="I8" s="42"/>
      <c r="J8" s="43"/>
      <c r="K8" s="44"/>
      <c r="L8" s="45"/>
      <c r="M8" s="6"/>
    </row>
    <row r="9" spans="1:17" ht="22.5" customHeight="1" outlineLevel="1" x14ac:dyDescent="0.25">
      <c r="A9" s="48" t="s">
        <v>83</v>
      </c>
      <c r="B9" s="49">
        <f>SUM(B11:B19)</f>
        <v>287.14948050857845</v>
      </c>
      <c r="C9" s="49">
        <f t="shared" ref="C9:J9" si="0">SUM(C11:C19)</f>
        <v>23.445018278000003</v>
      </c>
      <c r="D9" s="49">
        <f t="shared" si="0"/>
        <v>51.363977105999993</v>
      </c>
      <c r="E9" s="49">
        <f t="shared" si="0"/>
        <v>259.23052168057848</v>
      </c>
      <c r="F9" s="49">
        <f t="shared" si="0"/>
        <v>161.3533679181887</v>
      </c>
      <c r="G9" s="49">
        <f t="shared" si="0"/>
        <v>143.37609473302388</v>
      </c>
      <c r="H9" s="50"/>
      <c r="I9" s="50">
        <f t="shared" si="0"/>
        <v>15.740507594000759</v>
      </c>
      <c r="J9" s="50">
        <f t="shared" si="0"/>
        <v>14.118397910620494</v>
      </c>
      <c r="K9" s="51">
        <f>J9/I9</f>
        <v>0.89694679960648127</v>
      </c>
      <c r="L9" s="51">
        <f>+I9/$I$89</f>
        <v>0.21549958964852561</v>
      </c>
      <c r="M9" s="6"/>
      <c r="N9" s="52"/>
      <c r="O9" s="139"/>
      <c r="P9" s="52"/>
      <c r="Q9" s="52"/>
    </row>
    <row r="10" spans="1:17" ht="15" customHeight="1" outlineLevel="1" x14ac:dyDescent="0.25">
      <c r="A10" s="20"/>
      <c r="B10" s="21"/>
      <c r="C10" s="21"/>
      <c r="D10" s="21"/>
      <c r="E10" s="21"/>
      <c r="F10" s="22"/>
      <c r="G10" s="22"/>
      <c r="H10" s="23"/>
      <c r="I10" s="24"/>
      <c r="J10" s="25"/>
      <c r="K10" s="26"/>
      <c r="L10" s="26"/>
      <c r="M10" s="6"/>
      <c r="N10" s="52"/>
      <c r="O10" s="139"/>
      <c r="P10" s="52"/>
      <c r="Q10" s="52"/>
    </row>
    <row r="11" spans="1:17" ht="15" customHeight="1" outlineLevel="1" x14ac:dyDescent="0.25">
      <c r="A11" s="55" t="str">
        <f>+'data from cereal masterfile'!A3</f>
        <v>Common  wheat</v>
      </c>
      <c r="B11" s="56">
        <f>+'data from cereal masterfile'!G3</f>
        <v>135.04485937799998</v>
      </c>
      <c r="C11" s="56">
        <f>+'data from cereal masterfile'!G15</f>
        <v>5.7491591840000007</v>
      </c>
      <c r="D11" s="56">
        <f>+'data from cereal masterfile'!G27</f>
        <v>33.112226907999997</v>
      </c>
      <c r="E11" s="56">
        <f>+B11+C11-D11</f>
        <v>107.68179165399999</v>
      </c>
      <c r="F11" s="56">
        <f>+'data from cereal masterfile'!G39</f>
        <v>48.358999999999995</v>
      </c>
      <c r="G11" s="56">
        <f>IF(B11&gt;E11,F11,F11*B11/E11)-C11</f>
        <v>42.609840815999995</v>
      </c>
      <c r="H11" s="57">
        <v>0.11</v>
      </c>
      <c r="I11" s="58">
        <f>F11*H11</f>
        <v>5.3194899999999992</v>
      </c>
      <c r="J11" s="58">
        <f>G11*H11</f>
        <v>4.6870824897599999</v>
      </c>
      <c r="K11" s="26"/>
      <c r="L11" s="26"/>
      <c r="M11" s="6">
        <f>+IF(H11&lt;15%,1,IF(H11&lt;30%,2,IF(H11&lt;50%,3,4)))</f>
        <v>1</v>
      </c>
      <c r="N11" s="73"/>
      <c r="O11" s="140"/>
      <c r="P11" s="52"/>
      <c r="Q11" s="52"/>
    </row>
    <row r="12" spans="1:17" ht="15" customHeight="1" outlineLevel="1" x14ac:dyDescent="0.25">
      <c r="A12" s="55" t="str">
        <f>+'data from cereal masterfile'!A4</f>
        <v>Barley</v>
      </c>
      <c r="B12" s="56">
        <f>+'data from cereal masterfile'!G4</f>
        <v>54.142513304999994</v>
      </c>
      <c r="C12" s="56">
        <f>+'data from cereal masterfile'!G16</f>
        <v>1.3834457150000001</v>
      </c>
      <c r="D12" s="56">
        <f>+'data from cereal masterfile'!G28</f>
        <v>13.481520514</v>
      </c>
      <c r="E12" s="56">
        <f t="shared" ref="E12:E19" si="1">+B12+C12-D12</f>
        <v>42.044438505999992</v>
      </c>
      <c r="F12" s="56">
        <f>+'data from cereal masterfile'!G40</f>
        <v>33.007287699999999</v>
      </c>
      <c r="G12" s="56">
        <f>IF(B12&gt;E12,F12,F12*B12/E12)</f>
        <v>33.007287699999999</v>
      </c>
      <c r="H12" s="57">
        <v>0.1</v>
      </c>
      <c r="I12" s="58">
        <f t="shared" ref="I12:I19" si="2">F12*H12</f>
        <v>3.3007287700000001</v>
      </c>
      <c r="J12" s="58">
        <f t="shared" ref="J12:J19" si="3">G12*H12</f>
        <v>3.3007287700000001</v>
      </c>
      <c r="K12" s="26"/>
      <c r="L12" s="26"/>
      <c r="M12" s="6">
        <f t="shared" ref="M12:M19" si="4">+IF(H12&lt;15%,1,IF(H12&lt;30%,2,IF(H12&lt;50%,3,4)))</f>
        <v>1</v>
      </c>
      <c r="N12" s="73"/>
      <c r="O12" s="140"/>
      <c r="P12" s="52"/>
      <c r="Q12" s="52"/>
    </row>
    <row r="13" spans="1:17" ht="15" customHeight="1" outlineLevel="1" x14ac:dyDescent="0.25">
      <c r="A13" s="55" t="str">
        <f>+'data from cereal masterfile'!A5</f>
        <v>Durum</v>
      </c>
      <c r="B13" s="56">
        <f>+'data from cereal masterfile'!G5</f>
        <v>8.3003910649999995</v>
      </c>
      <c r="C13" s="56">
        <f>+'data from cereal masterfile'!G17</f>
        <v>2.7029510290000003</v>
      </c>
      <c r="D13" s="56">
        <f>+'data from cereal masterfile'!G29</f>
        <v>1.238122476</v>
      </c>
      <c r="E13" s="56">
        <f t="shared" si="1"/>
        <v>9.7652196179999997</v>
      </c>
      <c r="F13" s="56">
        <f>+'data from cereal masterfile'!G41</f>
        <v>0.6</v>
      </c>
      <c r="G13" s="56">
        <f>IF(B13&gt;E13,F13,F13*B13/E13)</f>
        <v>0.5099971975868367</v>
      </c>
      <c r="H13" s="57">
        <v>0.12</v>
      </c>
      <c r="I13" s="58">
        <f t="shared" si="2"/>
        <v>7.1999999999999995E-2</v>
      </c>
      <c r="J13" s="58">
        <f t="shared" si="3"/>
        <v>6.1199663710420404E-2</v>
      </c>
      <c r="K13" s="26"/>
      <c r="L13" s="26"/>
      <c r="M13" s="6">
        <f t="shared" si="4"/>
        <v>1</v>
      </c>
      <c r="N13" s="73"/>
      <c r="O13" s="140"/>
      <c r="P13" s="52"/>
      <c r="Q13" s="52"/>
    </row>
    <row r="14" spans="1:17" ht="15" customHeight="1" outlineLevel="1" x14ac:dyDescent="0.25">
      <c r="A14" s="55" t="str">
        <f>+'data from cereal masterfile'!A6</f>
        <v>Maize</v>
      </c>
      <c r="B14" s="56">
        <f>+'data from cereal masterfile'!G6</f>
        <v>58.989768006000013</v>
      </c>
      <c r="C14" s="56">
        <f>+'data from cereal masterfile'!G18</f>
        <v>13.195940556</v>
      </c>
      <c r="D14" s="56">
        <f>+'data from cereal masterfile'!G30</f>
        <v>3.0588163320000001</v>
      </c>
      <c r="E14" s="56">
        <f t="shared" si="1"/>
        <v>69.12689223000001</v>
      </c>
      <c r="F14" s="56">
        <f>+'data from cereal masterfile'!G42</f>
        <v>56.143000000000001</v>
      </c>
      <c r="G14" s="56">
        <f>F14-C14*0.9</f>
        <v>44.266653499599997</v>
      </c>
      <c r="H14" s="57">
        <v>0.08</v>
      </c>
      <c r="I14" s="58">
        <f t="shared" si="2"/>
        <v>4.4914399999999999</v>
      </c>
      <c r="J14" s="58">
        <f t="shared" si="3"/>
        <v>3.5413322799679996</v>
      </c>
      <c r="K14" s="26"/>
      <c r="L14" s="26"/>
      <c r="M14" s="6">
        <f t="shared" si="4"/>
        <v>1</v>
      </c>
      <c r="N14" s="73"/>
      <c r="O14" s="140"/>
      <c r="P14" s="52"/>
      <c r="Q14" s="52"/>
    </row>
    <row r="15" spans="1:17" ht="15" customHeight="1" outlineLevel="1" x14ac:dyDescent="0.25">
      <c r="A15" s="55" t="str">
        <f>+'data from cereal masterfile'!A7</f>
        <v>Rye</v>
      </c>
      <c r="B15" s="56">
        <f>+'data from cereal masterfile'!G7</f>
        <v>7.5687112743092388</v>
      </c>
      <c r="C15" s="56">
        <f>+'data from cereal masterfile'!G19</f>
        <v>5.1398922999999999E-2</v>
      </c>
      <c r="D15" s="56">
        <f>+'data from cereal masterfile'!G31</f>
        <v>0.18242456899999998</v>
      </c>
      <c r="E15" s="56">
        <f t="shared" si="1"/>
        <v>7.4376856283092385</v>
      </c>
      <c r="F15" s="56">
        <f>+'data from cereal masterfile'!G43</f>
        <v>2.9958641008263491</v>
      </c>
      <c r="G15" s="56">
        <f>IF(B15&gt;E15,F15,F15*B15/(B15+C15-D15))</f>
        <v>2.9958641008263491</v>
      </c>
      <c r="H15" s="57">
        <v>0.11</v>
      </c>
      <c r="I15" s="58">
        <f t="shared" si="2"/>
        <v>0.32954505109089843</v>
      </c>
      <c r="J15" s="58">
        <f t="shared" si="3"/>
        <v>0.32954505109089843</v>
      </c>
      <c r="K15" s="26"/>
      <c r="L15" s="26"/>
      <c r="M15" s="6">
        <f t="shared" si="4"/>
        <v>1</v>
      </c>
      <c r="N15" s="73"/>
      <c r="O15" s="140"/>
      <c r="P15" s="52"/>
      <c r="Q15" s="52"/>
    </row>
    <row r="16" spans="1:17" ht="15" customHeight="1" outlineLevel="1" x14ac:dyDescent="0.25">
      <c r="A16" s="55" t="str">
        <f>+'data from cereal masterfile'!A8</f>
        <v>Sorghum</v>
      </c>
      <c r="B16" s="56">
        <f>+'data from cereal masterfile'!G8</f>
        <v>0.68414249999999988</v>
      </c>
      <c r="C16" s="56">
        <f>+'data from cereal masterfile'!G20</f>
        <v>0.1152343</v>
      </c>
      <c r="D16" s="56">
        <f>+'data from cereal masterfile'!G32</f>
        <v>1.3018013E-2</v>
      </c>
      <c r="E16" s="56">
        <f t="shared" si="1"/>
        <v>0.78635878699999984</v>
      </c>
      <c r="F16" s="56">
        <f>+'data from cereal masterfile'!G44</f>
        <v>0.65141330647093199</v>
      </c>
      <c r="G16" s="56">
        <f>IF(B16&gt;E16,F16,F16*B16/(B16+C16-D16))</f>
        <v>0.56673815488538515</v>
      </c>
      <c r="H16" s="57">
        <v>0.11</v>
      </c>
      <c r="I16" s="58">
        <f t="shared" si="2"/>
        <v>7.1655463711802522E-2</v>
      </c>
      <c r="J16" s="58">
        <f t="shared" si="3"/>
        <v>6.2341197037392368E-2</v>
      </c>
      <c r="K16" s="26"/>
      <c r="L16" s="26"/>
      <c r="M16" s="6">
        <f t="shared" si="4"/>
        <v>1</v>
      </c>
      <c r="N16" s="73"/>
      <c r="O16" s="140"/>
      <c r="P16" s="52"/>
      <c r="Q16" s="52"/>
    </row>
    <row r="17" spans="1:17" ht="15" customHeight="1" outlineLevel="1" x14ac:dyDescent="0.25">
      <c r="A17" s="55" t="str">
        <f>+'data from cereal masterfile'!A9</f>
        <v>Oats</v>
      </c>
      <c r="B17" s="56">
        <f>+'data from cereal masterfile'!G9</f>
        <v>6.7089408400000003</v>
      </c>
      <c r="C17" s="56">
        <f>+'data from cereal masterfile'!G21</f>
        <v>7.3623645000000001E-2</v>
      </c>
      <c r="D17" s="56">
        <f>+'data from cereal masterfile'!G33</f>
        <v>0.25832807400000002</v>
      </c>
      <c r="E17" s="56">
        <f t="shared" si="1"/>
        <v>6.5242364110000004</v>
      </c>
      <c r="F17" s="56">
        <f>+'data from cereal masterfile'!G45</f>
        <v>4.6921595850967197</v>
      </c>
      <c r="G17" s="56">
        <f>IF(B17&gt;E17,F17,F17*B17/(B17+C17-D17))</f>
        <v>4.6921595850967197</v>
      </c>
      <c r="H17" s="57">
        <v>0.11</v>
      </c>
      <c r="I17" s="58">
        <f t="shared" si="2"/>
        <v>0.51613755436063913</v>
      </c>
      <c r="J17" s="58">
        <f t="shared" si="3"/>
        <v>0.51613755436063913</v>
      </c>
      <c r="K17" s="26"/>
      <c r="L17" s="26"/>
      <c r="M17" s="6">
        <f t="shared" si="4"/>
        <v>1</v>
      </c>
      <c r="N17" s="73"/>
      <c r="O17" s="140"/>
      <c r="P17" s="52"/>
      <c r="Q17" s="52"/>
    </row>
    <row r="18" spans="1:17" ht="15" customHeight="1" outlineLevel="1" x14ac:dyDescent="0.25">
      <c r="A18" s="55" t="str">
        <f>+'data from cereal masterfile'!A10</f>
        <v>Triticale</v>
      </c>
      <c r="B18" s="56">
        <f>+'data from cereal masterfile'!G10</f>
        <v>12.422274199999999</v>
      </c>
      <c r="C18" s="56">
        <f>+'data from cereal masterfile'!G22</f>
        <v>1.0874599999999999E-4</v>
      </c>
      <c r="D18" s="56">
        <f>+'data from cereal masterfile'!G34</f>
        <v>2.5647220000000002E-3</v>
      </c>
      <c r="E18" s="56">
        <f t="shared" si="1"/>
        <v>12.419818223999998</v>
      </c>
      <c r="F18" s="56">
        <f>+'data from cereal masterfile'!G46</f>
        <v>10.999982448297382</v>
      </c>
      <c r="G18" s="56">
        <f>IF(B18&gt;E18,F18,F18*B18/(B18+C18-D18))</f>
        <v>10.999982448297382</v>
      </c>
      <c r="H18" s="57">
        <v>0.11</v>
      </c>
      <c r="I18" s="58">
        <f t="shared" si="2"/>
        <v>1.2099980693127121</v>
      </c>
      <c r="J18" s="58">
        <f t="shared" si="3"/>
        <v>1.2099980693127121</v>
      </c>
      <c r="K18" s="26"/>
      <c r="L18" s="26"/>
      <c r="M18" s="6">
        <f t="shared" si="4"/>
        <v>1</v>
      </c>
      <c r="N18" s="73"/>
      <c r="O18" s="140"/>
      <c r="P18" s="52"/>
      <c r="Q18" s="52"/>
    </row>
    <row r="19" spans="1:17" ht="15" customHeight="1" outlineLevel="1" x14ac:dyDescent="0.25">
      <c r="A19" s="55" t="str">
        <f>+'data from cereal masterfile'!A11</f>
        <v>Others</v>
      </c>
      <c r="B19" s="56">
        <f>+'data from cereal masterfile'!G11</f>
        <v>3.2878799402692169</v>
      </c>
      <c r="C19" s="56">
        <f>+'data from cereal masterfile'!G23</f>
        <v>0.17315617999999999</v>
      </c>
      <c r="D19" s="56">
        <f>+'data from cereal masterfile'!G35</f>
        <v>1.6955497999999999E-2</v>
      </c>
      <c r="E19" s="56">
        <f t="shared" si="1"/>
        <v>3.4440806222692166</v>
      </c>
      <c r="F19" s="56">
        <f>+'data from cereal masterfile'!G47</f>
        <v>3.9046607774973396</v>
      </c>
      <c r="G19" s="56">
        <f>IF(B19&gt;E19,F19,F19*B19/(B19+C19-D19))</f>
        <v>3.7275712307311899</v>
      </c>
      <c r="H19" s="57">
        <v>0.11</v>
      </c>
      <c r="I19" s="58">
        <f t="shared" si="2"/>
        <v>0.42951268552470734</v>
      </c>
      <c r="J19" s="58">
        <f t="shared" si="3"/>
        <v>0.41003283538043089</v>
      </c>
      <c r="K19" s="26"/>
      <c r="L19" s="26"/>
      <c r="M19" s="6">
        <f t="shared" si="4"/>
        <v>1</v>
      </c>
      <c r="N19" s="73"/>
      <c r="O19" s="140"/>
      <c r="P19" s="52"/>
      <c r="Q19" s="52"/>
    </row>
    <row r="20" spans="1:17" ht="12.75" customHeight="1" outlineLevel="1" x14ac:dyDescent="0.25">
      <c r="A20" s="20"/>
      <c r="B20" s="21"/>
      <c r="C20" s="21"/>
      <c r="D20" s="21"/>
      <c r="E20" s="21"/>
      <c r="F20" s="22"/>
      <c r="G20" s="22"/>
      <c r="H20" s="23"/>
      <c r="I20" s="24"/>
      <c r="J20" s="25"/>
      <c r="K20" s="26"/>
      <c r="L20" s="26"/>
      <c r="M20" s="6"/>
      <c r="N20" s="52"/>
      <c r="O20" s="139"/>
      <c r="P20" s="52"/>
      <c r="Q20" s="52"/>
    </row>
    <row r="21" spans="1:17" ht="22.5" customHeight="1" outlineLevel="1" x14ac:dyDescent="0.25">
      <c r="A21" s="48" t="s">
        <v>84</v>
      </c>
      <c r="B21" s="49">
        <f t="shared" ref="B21:G21" si="5">SUM(B23:B25)</f>
        <v>29.53782</v>
      </c>
      <c r="C21" s="49">
        <f t="shared" si="5"/>
        <v>18.327240557999996</v>
      </c>
      <c r="D21" s="49">
        <f t="shared" si="5"/>
        <v>1.1377640640000002</v>
      </c>
      <c r="E21" s="49">
        <f t="shared" si="5"/>
        <v>49.58230003333334</v>
      </c>
      <c r="F21" s="49">
        <f t="shared" si="5"/>
        <v>1.5578911</v>
      </c>
      <c r="G21" s="49">
        <f t="shared" si="5"/>
        <v>1.5578911</v>
      </c>
      <c r="H21" s="50"/>
      <c r="I21" s="50">
        <f>SUM(I23:I25)</f>
        <v>0.45631898673000004</v>
      </c>
      <c r="J21" s="50">
        <f>SUM(J23:J25)</f>
        <v>0.45631898673000004</v>
      </c>
      <c r="K21" s="51">
        <f>J21/I21</f>
        <v>1</v>
      </c>
      <c r="L21" s="51">
        <f>+I21/$I$89</f>
        <v>6.2473559891185098E-3</v>
      </c>
      <c r="M21" s="6"/>
      <c r="N21" s="52"/>
      <c r="O21" s="139"/>
      <c r="P21" s="52"/>
      <c r="Q21" s="52"/>
    </row>
    <row r="22" spans="1:17" ht="15" customHeight="1" outlineLevel="1" x14ac:dyDescent="0.25">
      <c r="A22" s="20" t="s">
        <v>85</v>
      </c>
      <c r="B22" s="21"/>
      <c r="C22" s="21"/>
      <c r="D22" s="21"/>
      <c r="E22" s="21"/>
      <c r="F22" s="22"/>
      <c r="G22" s="22"/>
      <c r="H22" s="23"/>
      <c r="I22" s="24"/>
      <c r="J22" s="25"/>
      <c r="K22" s="26"/>
      <c r="L22" s="26"/>
      <c r="M22" s="6"/>
      <c r="N22" s="52"/>
      <c r="O22" s="139"/>
      <c r="P22" s="52"/>
      <c r="Q22" s="52"/>
    </row>
    <row r="23" spans="1:17" ht="15" customHeight="1" outlineLevel="1" x14ac:dyDescent="0.25">
      <c r="A23" s="55" t="s">
        <v>22</v>
      </c>
      <c r="B23" s="56">
        <f>+'data from oilseed masterfile'!U4</f>
        <v>2.4772999999999996</v>
      </c>
      <c r="C23" s="56">
        <f>+'data from oilseed masterfile'!U12</f>
        <v>13.385261207999998</v>
      </c>
      <c r="D23" s="56">
        <f>+'data from oilseed masterfile'!U16</f>
        <v>0.23873649200000002</v>
      </c>
      <c r="E23" s="56">
        <v>16.464240033333336</v>
      </c>
      <c r="F23" s="56">
        <v>1.2</v>
      </c>
      <c r="G23" s="56">
        <f>F23</f>
        <v>1.2</v>
      </c>
      <c r="H23" s="61">
        <v>0.33</v>
      </c>
      <c r="I23" s="58">
        <f>F23*H23</f>
        <v>0.39600000000000002</v>
      </c>
      <c r="J23" s="58">
        <f>G23*H23</f>
        <v>0.39600000000000002</v>
      </c>
      <c r="K23" s="26"/>
      <c r="L23" s="26"/>
      <c r="M23" s="6">
        <f>+IF(H23&lt;15%,1,IF(H23&lt;30%,2,IF(H23&lt;50%,3,4)))</f>
        <v>3</v>
      </c>
      <c r="N23" s="52"/>
      <c r="O23" s="139"/>
      <c r="P23" s="52"/>
      <c r="Q23" s="52"/>
    </row>
    <row r="24" spans="1:17" ht="15" customHeight="1" outlineLevel="1" x14ac:dyDescent="0.25">
      <c r="A24" s="55" t="s">
        <v>23</v>
      </c>
      <c r="B24" s="56">
        <f>+'data from oilseed masterfile'!U5</f>
        <v>18.33193</v>
      </c>
      <c r="C24" s="56">
        <f>+'data from oilseed masterfile'!U13</f>
        <v>4.1425164899999993</v>
      </c>
      <c r="D24" s="56">
        <f>+'data from oilseed masterfile'!U17</f>
        <v>0.42918356200000002</v>
      </c>
      <c r="E24" s="56">
        <v>24.07438246666667</v>
      </c>
      <c r="F24" s="56">
        <f>+B24*1%</f>
        <v>0.18331929999999999</v>
      </c>
      <c r="G24" s="56">
        <f>F24</f>
        <v>0.18331929999999999</v>
      </c>
      <c r="H24" s="62">
        <f>H47*0.57</f>
        <v>0.18809999999999999</v>
      </c>
      <c r="I24" s="58">
        <f>F24*H24</f>
        <v>3.4482360329999996E-2</v>
      </c>
      <c r="J24" s="58">
        <f>G24*H24</f>
        <v>3.4482360329999996E-2</v>
      </c>
      <c r="K24" s="26"/>
      <c r="L24" s="26"/>
      <c r="M24" s="6">
        <f>+IF(H24&lt;15%,1,IF(H24&lt;30%,2,IF(H24&lt;50%,3,4)))</f>
        <v>2</v>
      </c>
      <c r="N24" s="52"/>
      <c r="O24" s="139"/>
      <c r="P24" s="52"/>
      <c r="Q24" s="52"/>
    </row>
    <row r="25" spans="1:17" ht="15" customHeight="1" outlineLevel="1" x14ac:dyDescent="0.25">
      <c r="A25" s="55" t="s">
        <v>24</v>
      </c>
      <c r="B25" s="56">
        <f>+'data from oilseed masterfile'!U6</f>
        <v>8.7285900000000005</v>
      </c>
      <c r="C25" s="56">
        <f>+'data from oilseed masterfile'!U14</f>
        <v>0.79946286</v>
      </c>
      <c r="D25" s="56">
        <f>+'data from oilseed masterfile'!U18</f>
        <v>0.46984400999999998</v>
      </c>
      <c r="E25" s="56">
        <v>9.0436775333333355</v>
      </c>
      <c r="F25" s="56">
        <f>+B25*2%</f>
        <v>0.17457180000000003</v>
      </c>
      <c r="G25" s="56">
        <f>F25</f>
        <v>0.17457180000000003</v>
      </c>
      <c r="H25" s="57">
        <v>0.14799999999999999</v>
      </c>
      <c r="I25" s="58">
        <f>F25*H25</f>
        <v>2.5836626400000003E-2</v>
      </c>
      <c r="J25" s="58">
        <f>G25*H25</f>
        <v>2.5836626400000003E-2</v>
      </c>
      <c r="K25" s="26"/>
      <c r="L25" s="26"/>
      <c r="M25" s="6">
        <f>+IF(H25&lt;15%,1,IF(H25&lt;30%,2,IF(H25&lt;50%,3,4)))</f>
        <v>1</v>
      </c>
      <c r="N25" s="52"/>
      <c r="O25" s="139"/>
      <c r="P25" s="52"/>
      <c r="Q25" s="52"/>
    </row>
    <row r="26" spans="1:17" ht="12.75" customHeight="1" outlineLevel="1" x14ac:dyDescent="0.25">
      <c r="A26" s="20"/>
      <c r="B26" s="21"/>
      <c r="C26" s="21"/>
      <c r="D26" s="21"/>
      <c r="E26" s="21"/>
      <c r="F26" s="22"/>
      <c r="G26" s="22"/>
      <c r="H26" s="23"/>
      <c r="I26" s="24"/>
      <c r="J26" s="25"/>
      <c r="K26" s="26"/>
      <c r="L26" s="26"/>
      <c r="M26" s="6"/>
      <c r="N26" s="52"/>
      <c r="O26" s="139"/>
      <c r="P26" s="52"/>
      <c r="Q26" s="52"/>
    </row>
    <row r="27" spans="1:17" ht="20.25" customHeight="1" outlineLevel="1" x14ac:dyDescent="0.25">
      <c r="A27" s="48" t="s">
        <v>86</v>
      </c>
      <c r="B27" s="49">
        <f t="shared" ref="B27:G27" si="6">SUM(B29:B32)</f>
        <v>4.443340000000001</v>
      </c>
      <c r="C27" s="49">
        <f t="shared" si="6"/>
        <v>0.65346650699999997</v>
      </c>
      <c r="D27" s="49">
        <f t="shared" si="6"/>
        <v>1.0266975389999999</v>
      </c>
      <c r="E27" s="49">
        <f t="shared" si="6"/>
        <v>4.0701089680000013</v>
      </c>
      <c r="F27" s="49">
        <f t="shared" si="6"/>
        <v>3.0569014573841757</v>
      </c>
      <c r="G27" s="49">
        <f t="shared" si="6"/>
        <v>2.7603975958314826</v>
      </c>
      <c r="H27" s="50"/>
      <c r="I27" s="50">
        <f>SUM(I29:I32)</f>
        <v>0.78625728274904394</v>
      </c>
      <c r="J27" s="50">
        <f>SUM(J29:J32)</f>
        <v>0.69749922328524749</v>
      </c>
      <c r="K27" s="51">
        <f>J27/I27</f>
        <v>0.88711321165323176</v>
      </c>
      <c r="L27" s="51">
        <f>+I27/$I$89</f>
        <v>1.0764463647612124E-2</v>
      </c>
      <c r="M27" s="6"/>
      <c r="N27" s="52"/>
      <c r="O27" s="139"/>
      <c r="P27" s="52"/>
      <c r="Q27" s="52"/>
    </row>
    <row r="28" spans="1:17" ht="15.75" customHeight="1" outlineLevel="1" x14ac:dyDescent="0.25">
      <c r="A28" s="20"/>
      <c r="B28" s="21"/>
      <c r="C28" s="21"/>
      <c r="D28" s="21"/>
      <c r="E28" s="21"/>
      <c r="F28" s="22"/>
      <c r="G28" s="22"/>
      <c r="H28" s="23"/>
      <c r="I28" s="24"/>
      <c r="J28" s="25"/>
      <c r="K28" s="26"/>
      <c r="L28" s="26"/>
      <c r="M28" s="6"/>
      <c r="N28" s="52"/>
      <c r="O28" s="139"/>
      <c r="P28" s="52"/>
      <c r="Q28" s="52"/>
    </row>
    <row r="29" spans="1:17" ht="15" customHeight="1" outlineLevel="1" x14ac:dyDescent="0.25">
      <c r="A29" s="55" t="s">
        <v>87</v>
      </c>
      <c r="B29" s="56">
        <f>'data from protein balance sheet'!G4</f>
        <v>2.1240000000000006</v>
      </c>
      <c r="C29" s="56">
        <f>'data from protein balance sheet'!G20</f>
        <v>0.14140654999999999</v>
      </c>
      <c r="D29" s="56">
        <f>'data from protein balance sheet'!G28</f>
        <v>0.72316543199999994</v>
      </c>
      <c r="E29" s="56">
        <f>'data from protein balance sheet'!G12</f>
        <v>1.5422411180000009</v>
      </c>
      <c r="F29" s="56">
        <f>'data from protein balance sheet'!G36</f>
        <v>1.2233195370000003</v>
      </c>
      <c r="G29" s="56">
        <f>IF(B29&gt;E29,F29,F29*B29/E29)</f>
        <v>1.2233195370000003</v>
      </c>
      <c r="H29" s="63">
        <v>0.22500000000000001</v>
      </c>
      <c r="I29" s="58">
        <f>F29*H29</f>
        <v>0.27524689582500006</v>
      </c>
      <c r="J29" s="58">
        <f>G29*H29</f>
        <v>0.27524689582500006</v>
      </c>
      <c r="K29" s="26"/>
      <c r="L29" s="26"/>
      <c r="M29" s="6">
        <f>+IF(H29&lt;15%,1,IF(H29&lt;30%,2,IF(H29&lt;50%,3,4)))</f>
        <v>2</v>
      </c>
      <c r="N29" s="52"/>
      <c r="O29" s="139"/>
      <c r="P29" s="52"/>
      <c r="Q29" s="52"/>
    </row>
    <row r="30" spans="1:17" ht="15" customHeight="1" outlineLevel="1" x14ac:dyDescent="0.25">
      <c r="A30" s="55" t="s">
        <v>27</v>
      </c>
      <c r="B30" s="56">
        <f>'data from protein balance sheet'!G5</f>
        <v>1.27152</v>
      </c>
      <c r="C30" s="56">
        <f>'data from protein balance sheet'!G21</f>
        <v>3.5720119999999994E-2</v>
      </c>
      <c r="D30" s="56">
        <f>'data from protein balance sheet'!G29</f>
        <v>0.27131681499999999</v>
      </c>
      <c r="E30" s="56">
        <f>'data from protein balance sheet'!G13</f>
        <v>1.0359233050000001</v>
      </c>
      <c r="F30" s="56">
        <f>'data from protein balance sheet'!G37</f>
        <v>0.86277847919999995</v>
      </c>
      <c r="G30" s="56">
        <f>IF(B30&gt;E30,F30,F30*B30/E30)</f>
        <v>0.86277847919999995</v>
      </c>
      <c r="H30" s="63">
        <v>0.26</v>
      </c>
      <c r="I30" s="58">
        <f>F30*H30</f>
        <v>0.22432240459200001</v>
      </c>
      <c r="J30" s="58">
        <f>G30*H30</f>
        <v>0.22432240459200001</v>
      </c>
      <c r="K30" s="26"/>
      <c r="L30" s="26"/>
      <c r="M30" s="6">
        <f>+IF(H30&lt;15%,1,IF(H30&lt;30%,2,IF(H30&lt;50%,3,4)))</f>
        <v>2</v>
      </c>
      <c r="N30" s="52"/>
      <c r="O30" s="139"/>
      <c r="P30" s="52"/>
      <c r="Q30" s="52"/>
    </row>
    <row r="31" spans="1:17" ht="15" customHeight="1" outlineLevel="1" x14ac:dyDescent="0.25">
      <c r="A31" s="55" t="s">
        <v>28</v>
      </c>
      <c r="B31" s="56">
        <f>'data from protein balance sheet'!G7</f>
        <v>0.29632999999999998</v>
      </c>
      <c r="C31" s="56">
        <f>'data from protein balance sheet'!G23</f>
        <v>0.14798436400000001</v>
      </c>
      <c r="D31" s="56">
        <f>'data from protein balance sheet'!G31</f>
        <v>2.7786399999999995E-4</v>
      </c>
      <c r="E31" s="56">
        <f>'data from protein balance sheet'!G15</f>
        <v>0.44403649999999995</v>
      </c>
      <c r="F31" s="56">
        <f>'data from protein balance sheet'!G39</f>
        <v>0.43987122035999993</v>
      </c>
      <c r="G31" s="56">
        <f>IF(B31&gt;E31,F31,F31*B31/E31)</f>
        <v>0.29355027960376862</v>
      </c>
      <c r="H31" s="61">
        <v>0.35</v>
      </c>
      <c r="I31" s="58">
        <f>F31*H31</f>
        <v>0.15395492712599995</v>
      </c>
      <c r="J31" s="58">
        <f>G31*H31</f>
        <v>0.10274259786131901</v>
      </c>
      <c r="K31" s="26"/>
      <c r="L31" s="26"/>
      <c r="M31" s="6">
        <f>+IF(H31&lt;15%,1,IF(H31&lt;30%,2,IF(H31&lt;50%,3,4)))</f>
        <v>3</v>
      </c>
      <c r="N31" s="52"/>
      <c r="O31" s="139"/>
      <c r="P31" s="52"/>
      <c r="Q31" s="52"/>
    </row>
    <row r="32" spans="1:17" ht="15" customHeight="1" outlineLevel="1" x14ac:dyDescent="0.25">
      <c r="A32" s="55" t="s">
        <v>29</v>
      </c>
      <c r="B32" s="56">
        <f>'data from protein balance sheet'!G9</f>
        <v>0.75148999999999999</v>
      </c>
      <c r="C32" s="56">
        <f>'data from protein balance sheet'!G25</f>
        <v>0.32835547300000001</v>
      </c>
      <c r="D32" s="56">
        <f>'data from protein balance sheet'!G33</f>
        <v>3.1937428000000004E-2</v>
      </c>
      <c r="E32" s="56">
        <f>'data from protein balance sheet'!G17</f>
        <v>1.0479080450000002</v>
      </c>
      <c r="F32" s="56">
        <f>'data from protein balance sheet'!G41</f>
        <v>0.53093222082417557</v>
      </c>
      <c r="G32" s="56">
        <f>IF(B32&gt;E32,F32,F32*B32/E32)</f>
        <v>0.3807493000277134</v>
      </c>
      <c r="H32" s="63">
        <v>0.25</v>
      </c>
      <c r="I32" s="58">
        <f>F32*H32</f>
        <v>0.13273305520604389</v>
      </c>
      <c r="J32" s="58">
        <f>G32*H32</f>
        <v>9.518732500692835E-2</v>
      </c>
      <c r="K32" s="26"/>
      <c r="L32" s="26"/>
      <c r="M32" s="6">
        <f>+IF(H32&lt;15%,1,IF(H32&lt;30%,2,IF(H32&lt;50%,3,4)))</f>
        <v>2</v>
      </c>
      <c r="N32" s="52"/>
      <c r="O32" s="139"/>
      <c r="P32" s="52"/>
      <c r="Q32" s="52"/>
    </row>
    <row r="33" spans="1:17" ht="12.75" customHeight="1" x14ac:dyDescent="0.25">
      <c r="A33" s="20"/>
      <c r="B33" s="21"/>
      <c r="C33" s="21"/>
      <c r="D33" s="21"/>
      <c r="E33" s="21"/>
      <c r="F33" s="22"/>
      <c r="G33" s="22"/>
      <c r="H33" s="23"/>
      <c r="I33" s="24"/>
      <c r="J33" s="25"/>
      <c r="K33" s="26"/>
      <c r="L33" s="26"/>
      <c r="M33" s="6"/>
      <c r="N33" s="52"/>
      <c r="O33" s="139"/>
      <c r="P33" s="52"/>
      <c r="Q33" s="52"/>
    </row>
    <row r="34" spans="1:17" ht="36" customHeight="1" x14ac:dyDescent="0.25">
      <c r="A34" s="27" t="s">
        <v>30</v>
      </c>
      <c r="B34" s="28"/>
      <c r="C34" s="28"/>
      <c r="D34" s="28"/>
      <c r="E34" s="28"/>
      <c r="F34" s="29">
        <f>+F36+F63</f>
        <v>78.870067044981141</v>
      </c>
      <c r="G34" s="29">
        <f>+G36+G63</f>
        <v>43.215469659973159</v>
      </c>
      <c r="H34" s="30"/>
      <c r="I34" s="30">
        <f>+I36+I63</f>
        <v>23.666227883170944</v>
      </c>
      <c r="J34" s="30">
        <f>+J36+J63</f>
        <v>9.1996676875377226</v>
      </c>
      <c r="K34" s="31">
        <f>IF(I34=0,0,J34/I34)</f>
        <v>0.38872556002385183</v>
      </c>
      <c r="L34" s="31">
        <f>+I34/$I$89</f>
        <v>0.32400876317963473</v>
      </c>
      <c r="M34" s="6"/>
      <c r="N34" s="52"/>
      <c r="O34" s="139"/>
      <c r="P34" s="52"/>
      <c r="Q34" s="52"/>
    </row>
    <row r="35" spans="1:17" ht="12.75" customHeight="1" x14ac:dyDescent="0.25">
      <c r="A35" s="20"/>
      <c r="B35" s="21"/>
      <c r="C35" s="21"/>
      <c r="D35" s="21"/>
      <c r="E35" s="21"/>
      <c r="F35" s="22"/>
      <c r="G35" s="22"/>
      <c r="H35" s="23"/>
      <c r="I35" s="24"/>
      <c r="J35" s="25"/>
      <c r="K35" s="26"/>
      <c r="L35" s="26"/>
      <c r="M35" s="6"/>
      <c r="N35" s="52"/>
      <c r="O35" s="139"/>
      <c r="P35" s="52"/>
      <c r="Q35" s="52"/>
    </row>
    <row r="36" spans="1:17" ht="18.75" customHeight="1" outlineLevel="1" x14ac:dyDescent="0.25">
      <c r="A36" s="48" t="s">
        <v>31</v>
      </c>
      <c r="B36" s="49">
        <f t="shared" ref="B36:E36" si="7">+B38+B45+B51+B57</f>
        <v>27.299112308164624</v>
      </c>
      <c r="C36" s="49">
        <f t="shared" si="7"/>
        <v>22.021211351999998</v>
      </c>
      <c r="D36" s="49">
        <f t="shared" si="7"/>
        <v>1.9133996309999999</v>
      </c>
      <c r="E36" s="49">
        <f t="shared" si="7"/>
        <v>47.406924029164621</v>
      </c>
      <c r="F36" s="49">
        <f>+F38+F45+F51+F57</f>
        <v>47.223247987955624</v>
      </c>
      <c r="G36" s="49">
        <f>+G38+G45+G51+G57</f>
        <v>13.664443376947645</v>
      </c>
      <c r="H36" s="50"/>
      <c r="I36" s="50">
        <f>+I38+I45+I51+I57</f>
        <v>18.851708097656889</v>
      </c>
      <c r="J36" s="50">
        <f>+J38+J45+J51+J57</f>
        <v>4.719399545002668</v>
      </c>
      <c r="K36" s="51">
        <f>IF(I36=0,0,J36/I36)</f>
        <v>0.25034333868076658</v>
      </c>
      <c r="L36" s="51">
        <f>+I36/$I$89</f>
        <v>0.25809430445351184</v>
      </c>
      <c r="M36" s="6"/>
      <c r="N36" s="52"/>
      <c r="O36" s="139"/>
      <c r="P36" s="52"/>
      <c r="Q36" s="52"/>
    </row>
    <row r="37" spans="1:17" ht="7.5" customHeight="1" outlineLevel="1" x14ac:dyDescent="0.25">
      <c r="A37" s="20"/>
      <c r="B37" s="21"/>
      <c r="C37" s="21"/>
      <c r="D37" s="21"/>
      <c r="E37" s="21"/>
      <c r="F37" s="22"/>
      <c r="G37" s="22"/>
      <c r="H37" s="23"/>
      <c r="I37" s="24"/>
      <c r="J37" s="25"/>
      <c r="K37" s="26"/>
      <c r="L37" s="26"/>
      <c r="M37" s="6"/>
      <c r="N37" s="52"/>
      <c r="O37" s="139"/>
      <c r="P37" s="52"/>
      <c r="Q37" s="52"/>
    </row>
    <row r="38" spans="1:17" ht="15" customHeight="1" outlineLevel="2" x14ac:dyDescent="0.25">
      <c r="A38" s="48" t="s">
        <v>88</v>
      </c>
      <c r="B38" s="49">
        <f t="shared" ref="B38:E38" si="8">B40+B41+B42+B43</f>
        <v>10.16965472044982</v>
      </c>
      <c r="C38" s="49">
        <f t="shared" si="8"/>
        <v>16.713473712999999</v>
      </c>
      <c r="D38" s="49">
        <f t="shared" si="8"/>
        <v>0.68585266</v>
      </c>
      <c r="E38" s="49">
        <f t="shared" si="8"/>
        <v>26.197275773449821</v>
      </c>
      <c r="F38" s="49">
        <f>F40+F41+F42+F43</f>
        <v>26.01359973224082</v>
      </c>
      <c r="G38" s="49">
        <f>G40+G41+G42+G43</f>
        <v>0.80405586789359962</v>
      </c>
      <c r="H38" s="50"/>
      <c r="I38" s="50">
        <f>SUM(I40:I43)</f>
        <v>11.867086481472235</v>
      </c>
      <c r="J38" s="50">
        <f>SUM(J40:J43)</f>
        <v>0.34574402319424785</v>
      </c>
      <c r="K38" s="51">
        <f>IF(I38=0,0,J38/I38)</f>
        <v>2.9134701574312173E-2</v>
      </c>
      <c r="L38" s="51">
        <f>+I38/$I$89</f>
        <v>0.16246949164812996</v>
      </c>
      <c r="M38" s="6"/>
      <c r="N38" s="73"/>
      <c r="O38" s="141"/>
      <c r="P38" s="52"/>
      <c r="Q38" s="52"/>
    </row>
    <row r="39" spans="1:17" ht="15" customHeight="1" outlineLevel="2" x14ac:dyDescent="0.25">
      <c r="A39" s="20"/>
      <c r="B39" s="21"/>
      <c r="C39" s="21"/>
      <c r="D39" s="21"/>
      <c r="E39" s="21"/>
      <c r="F39" s="22"/>
      <c r="G39" s="22"/>
      <c r="H39" s="23"/>
      <c r="I39" s="24"/>
      <c r="J39" s="25"/>
      <c r="K39" s="26"/>
      <c r="L39" s="26"/>
      <c r="M39" s="6"/>
      <c r="N39" s="73"/>
      <c r="O39" s="141"/>
      <c r="P39" s="52"/>
      <c r="Q39" s="52"/>
    </row>
    <row r="40" spans="1:17" ht="15" customHeight="1" outlineLevel="2" x14ac:dyDescent="0.25">
      <c r="A40" s="55" t="s">
        <v>33</v>
      </c>
      <c r="B40" s="56">
        <f>(MIN((B23-D23)*'data from oilseed masterfile'!U40,B23-D23-G23)*0.79)</f>
        <v>0.82046517131999963</v>
      </c>
      <c r="C40" s="56"/>
      <c r="D40" s="56"/>
      <c r="E40" s="56">
        <f>B40-D40</f>
        <v>0.82046517131999963</v>
      </c>
      <c r="F40" s="56">
        <f>(B40-D40)*0.98</f>
        <v>0.80405586789359962</v>
      </c>
      <c r="G40" s="56">
        <f>F40</f>
        <v>0.80405586789359962</v>
      </c>
      <c r="H40" s="61">
        <v>0.43</v>
      </c>
      <c r="I40" s="58">
        <f>F40*H40</f>
        <v>0.34574402319424785</v>
      </c>
      <c r="J40" s="58">
        <f>G40*H40</f>
        <v>0.34574402319424785</v>
      </c>
      <c r="K40" s="26"/>
      <c r="L40" s="26"/>
      <c r="M40" s="6">
        <f>+IF(H40&lt;15%,1,IF(H40&lt;30%,2,IF(H40&lt;50%,3,4)))</f>
        <v>3</v>
      </c>
      <c r="N40" s="73"/>
      <c r="O40" s="141"/>
      <c r="P40" s="52"/>
      <c r="Q40" s="52"/>
    </row>
    <row r="41" spans="1:17" ht="15" customHeight="1" outlineLevel="2" x14ac:dyDescent="0.25">
      <c r="A41" s="55" t="s">
        <v>34</v>
      </c>
      <c r="B41" s="56">
        <f>(MIN(C23*'data from oilseed masterfile'!U40,C23-(F23-G23))*0.79-B43)</f>
        <v>9.0491895491298191</v>
      </c>
      <c r="C41" s="56"/>
      <c r="D41" s="56">
        <f>+'data from oilseed masterfile'!U35</f>
        <v>0.68585266</v>
      </c>
      <c r="E41" s="56">
        <f>B41-D41</f>
        <v>8.363336889129819</v>
      </c>
      <c r="F41" s="56">
        <f>(B41-D41)*0.98</f>
        <v>8.1960701513472216</v>
      </c>
      <c r="G41" s="56">
        <v>0</v>
      </c>
      <c r="H41" s="61">
        <v>0.45500000000000002</v>
      </c>
      <c r="I41" s="58">
        <f>F41*H41</f>
        <v>3.729211918862986</v>
      </c>
      <c r="J41" s="58">
        <f>G41*H41</f>
        <v>0</v>
      </c>
      <c r="K41" s="26"/>
      <c r="L41" s="26"/>
      <c r="M41" s="6">
        <f>+IF(H41&lt;15%,1,IF(H41&lt;30%,2,IF(H41&lt;50%,3,4)))</f>
        <v>3</v>
      </c>
      <c r="N41" s="73"/>
      <c r="O41" s="141"/>
      <c r="P41" s="52"/>
      <c r="Q41" s="52"/>
    </row>
    <row r="42" spans="1:17" ht="15" customHeight="1" outlineLevel="2" x14ac:dyDescent="0.25">
      <c r="A42" s="55" t="s">
        <v>35</v>
      </c>
      <c r="B42" s="56"/>
      <c r="C42" s="56">
        <f>+'data from oilseed masterfile'!U31</f>
        <v>16.713473712999999</v>
      </c>
      <c r="D42" s="56"/>
      <c r="E42" s="56">
        <f>C42</f>
        <v>16.713473712999999</v>
      </c>
      <c r="F42" s="56">
        <f>(C42-D42)</f>
        <v>16.713473712999999</v>
      </c>
      <c r="G42" s="56">
        <v>0</v>
      </c>
      <c r="H42" s="61">
        <v>0.45500000000000002</v>
      </c>
      <c r="I42" s="58">
        <f>F42*H42</f>
        <v>7.604630539415</v>
      </c>
      <c r="J42" s="58">
        <f>G42*H42</f>
        <v>0</v>
      </c>
      <c r="K42" s="26"/>
      <c r="L42" s="26"/>
      <c r="M42" s="6">
        <f>+IF(H42&lt;15%,1,IF(H42&lt;30%,2,IF(H42&lt;50%,3,4)))</f>
        <v>3</v>
      </c>
      <c r="N42" s="73"/>
      <c r="O42" s="141"/>
      <c r="P42" s="52"/>
      <c r="Q42" s="52"/>
    </row>
    <row r="43" spans="1:17" ht="15" customHeight="1" outlineLevel="2" x14ac:dyDescent="0.25">
      <c r="A43" s="55" t="s">
        <v>89</v>
      </c>
      <c r="B43" s="56">
        <f>F43</f>
        <v>0.3</v>
      </c>
      <c r="C43" s="56"/>
      <c r="D43" s="56"/>
      <c r="E43" s="56">
        <f>B43+C43-D43</f>
        <v>0.3</v>
      </c>
      <c r="F43" s="56">
        <v>0.3</v>
      </c>
      <c r="G43" s="56">
        <v>0</v>
      </c>
      <c r="H43" s="65">
        <v>0.625</v>
      </c>
      <c r="I43" s="58">
        <f>F43*H43</f>
        <v>0.1875</v>
      </c>
      <c r="J43" s="58">
        <f>G43*H43</f>
        <v>0</v>
      </c>
      <c r="K43" s="26">
        <f>IF(I43=0,0,J43/I43)</f>
        <v>0</v>
      </c>
      <c r="L43" s="26">
        <f>IF(J43=0,0,K43/J43)</f>
        <v>0</v>
      </c>
      <c r="M43" s="6">
        <f>+IF(H43&lt;15%,1,IF(H43&lt;30%,2,IF(H43&lt;50%,3,4)))</f>
        <v>4</v>
      </c>
      <c r="N43" s="73"/>
      <c r="O43" s="141"/>
      <c r="P43" s="52"/>
      <c r="Q43" s="52"/>
    </row>
    <row r="44" spans="1:17" ht="12.75" customHeight="1" outlineLevel="2" x14ac:dyDescent="0.25">
      <c r="A44" s="20"/>
      <c r="B44" s="21"/>
      <c r="C44" s="21"/>
      <c r="D44" s="21"/>
      <c r="E44" s="21"/>
      <c r="F44" s="22"/>
      <c r="G44" s="22"/>
      <c r="H44" s="23"/>
      <c r="I44" s="24"/>
      <c r="J44" s="25"/>
      <c r="K44" s="26"/>
      <c r="L44" s="26"/>
      <c r="M44" s="6"/>
      <c r="N44" s="73"/>
      <c r="O44" s="141"/>
      <c r="P44" s="52"/>
      <c r="Q44" s="52"/>
    </row>
    <row r="45" spans="1:17" ht="15" customHeight="1" outlineLevel="2" x14ac:dyDescent="0.25">
      <c r="A45" s="48" t="s">
        <v>90</v>
      </c>
      <c r="B45" s="49">
        <f t="shared" ref="B45:E45" si="9">B47+B48+B49</f>
        <v>12.137877998422498</v>
      </c>
      <c r="C45" s="49">
        <f t="shared" si="9"/>
        <v>0.30599963800000007</v>
      </c>
      <c r="D45" s="49">
        <f t="shared" si="9"/>
        <v>0.61510918299999995</v>
      </c>
      <c r="E45" s="49">
        <f t="shared" si="9"/>
        <v>11.828768453422498</v>
      </c>
      <c r="F45" s="49">
        <f>F47+F48+F49</f>
        <v>11.828768453422498</v>
      </c>
      <c r="G45" s="49">
        <f>G47+G48+G49</f>
        <v>9.2419450427012251</v>
      </c>
      <c r="H45" s="50"/>
      <c r="I45" s="50">
        <f>SUM(I47:I49)</f>
        <v>3.9034935896294249</v>
      </c>
      <c r="J45" s="50">
        <f>SUM(J47:J49)</f>
        <v>3.0498418640914045</v>
      </c>
      <c r="K45" s="51">
        <f>IF(I45=0,0,J45/I45)</f>
        <v>0.78131084221427882</v>
      </c>
      <c r="L45" s="51">
        <f>+I45/$I$89</f>
        <v>5.3441813215820415E-2</v>
      </c>
      <c r="M45" s="6"/>
      <c r="N45" s="72"/>
      <c r="O45" s="141"/>
      <c r="P45" s="52"/>
      <c r="Q45" s="52"/>
    </row>
    <row r="46" spans="1:17" ht="15" customHeight="1" outlineLevel="2" x14ac:dyDescent="0.25">
      <c r="A46" s="20"/>
      <c r="B46" s="21"/>
      <c r="C46" s="21"/>
      <c r="D46" s="21"/>
      <c r="E46" s="21"/>
      <c r="F46" s="22"/>
      <c r="G46" s="22"/>
      <c r="H46" s="23"/>
      <c r="I46" s="24"/>
      <c r="J46" s="25"/>
      <c r="K46" s="26"/>
      <c r="L46" s="26"/>
      <c r="M46" s="6"/>
      <c r="N46" s="52"/>
      <c r="O46" s="139"/>
      <c r="P46" s="52"/>
      <c r="Q46" s="52"/>
    </row>
    <row r="47" spans="1:17" ht="15" customHeight="1" outlineLevel="2" x14ac:dyDescent="0.25">
      <c r="A47" s="55" t="s">
        <v>38</v>
      </c>
      <c r="B47" s="56">
        <f>(MIN((B24-D24)*'data from oilseed masterfile'!U41,B24-D24-G24)*0.57)</f>
        <v>9.8570542257012246</v>
      </c>
      <c r="C47" s="56"/>
      <c r="D47" s="56">
        <f>+'data from oilseed masterfile'!U36</f>
        <v>0.61510918299999995</v>
      </c>
      <c r="E47" s="56">
        <f>B47-D47</f>
        <v>9.2419450427012251</v>
      </c>
      <c r="F47" s="56">
        <f>(B47-D47)</f>
        <v>9.2419450427012251</v>
      </c>
      <c r="G47" s="56">
        <f>F47</f>
        <v>9.2419450427012251</v>
      </c>
      <c r="H47" s="61">
        <v>0.33</v>
      </c>
      <c r="I47" s="58">
        <f>F47*H47</f>
        <v>3.0498418640914045</v>
      </c>
      <c r="J47" s="58">
        <f>G47*H47</f>
        <v>3.0498418640914045</v>
      </c>
      <c r="K47" s="26"/>
      <c r="L47" s="26"/>
      <c r="M47" s="6">
        <f>+IF(H47&lt;15%,1,IF(H47&lt;30%,2,IF(H47&lt;50%,3,4)))</f>
        <v>3</v>
      </c>
      <c r="N47" s="52"/>
      <c r="O47" s="139"/>
      <c r="P47" s="52"/>
      <c r="Q47" s="52"/>
    </row>
    <row r="48" spans="1:17" ht="15" customHeight="1" outlineLevel="2" x14ac:dyDescent="0.25">
      <c r="A48" s="55" t="s">
        <v>39</v>
      </c>
      <c r="B48" s="56">
        <f>C24*'data from oilseed masterfile'!U41*0.57</f>
        <v>2.280823772721273</v>
      </c>
      <c r="C48" s="56"/>
      <c r="D48" s="56"/>
      <c r="E48" s="56">
        <f>B48-D48</f>
        <v>2.280823772721273</v>
      </c>
      <c r="F48" s="56">
        <f>(B48-D48)</f>
        <v>2.280823772721273</v>
      </c>
      <c r="G48" s="56">
        <v>0</v>
      </c>
      <c r="H48" s="61">
        <v>0.33</v>
      </c>
      <c r="I48" s="58">
        <f>F48*H48</f>
        <v>0.75267184499802009</v>
      </c>
      <c r="J48" s="58">
        <f>G48*H48</f>
        <v>0</v>
      </c>
      <c r="K48" s="26"/>
      <c r="L48" s="26"/>
      <c r="M48" s="6">
        <f>+IF(H48&lt;15%,1,IF(H48&lt;30%,2,IF(H48&lt;50%,3,4)))</f>
        <v>3</v>
      </c>
      <c r="N48" s="52"/>
      <c r="O48" s="139"/>
      <c r="P48" s="52"/>
      <c r="Q48" s="52"/>
    </row>
    <row r="49" spans="1:28" ht="15" customHeight="1" outlineLevel="2" x14ac:dyDescent="0.25">
      <c r="A49" s="55" t="s">
        <v>40</v>
      </c>
      <c r="B49" s="56"/>
      <c r="C49" s="56">
        <f>+'data from oilseed masterfile'!U32</f>
        <v>0.30599963800000007</v>
      </c>
      <c r="D49" s="56"/>
      <c r="E49" s="56">
        <f>C49</f>
        <v>0.30599963800000007</v>
      </c>
      <c r="F49" s="56">
        <f>IF((C49-D49)&lt;0,0,C49-D49)</f>
        <v>0.30599963800000007</v>
      </c>
      <c r="G49" s="56">
        <v>0</v>
      </c>
      <c r="H49" s="61">
        <v>0.33</v>
      </c>
      <c r="I49" s="58">
        <f>F49*H49</f>
        <v>0.10097988054000002</v>
      </c>
      <c r="J49" s="58">
        <f>G49*H49</f>
        <v>0</v>
      </c>
      <c r="K49" s="26"/>
      <c r="L49" s="26"/>
      <c r="M49" s="6">
        <f>+IF(H49&lt;15%,1,IF(H49&lt;30%,2,IF(H49&lt;50%,3,4)))</f>
        <v>3</v>
      </c>
      <c r="N49" s="73"/>
      <c r="O49" s="141"/>
      <c r="P49" s="52"/>
      <c r="Q49" s="52"/>
      <c r="R49" s="52"/>
      <c r="S49" s="52"/>
      <c r="T49" s="52"/>
      <c r="U49" s="52"/>
      <c r="V49" s="52"/>
      <c r="W49" s="52"/>
      <c r="X49" s="52"/>
      <c r="Y49" s="52"/>
      <c r="Z49" s="52"/>
      <c r="AA49" s="52"/>
      <c r="AB49" s="52"/>
    </row>
    <row r="50" spans="1:28" ht="12.75" customHeight="1" outlineLevel="2" x14ac:dyDescent="0.25">
      <c r="A50" s="20"/>
      <c r="B50" s="21"/>
      <c r="C50" s="21"/>
      <c r="D50" s="21"/>
      <c r="E50" s="21"/>
      <c r="F50" s="22"/>
      <c r="G50" s="22"/>
      <c r="H50" s="23"/>
      <c r="I50" s="24"/>
      <c r="J50" s="25"/>
      <c r="K50" s="26"/>
      <c r="L50" s="26"/>
      <c r="M50" s="6"/>
      <c r="N50" s="73"/>
      <c r="O50" s="141"/>
      <c r="P50" s="52"/>
      <c r="Q50" s="52"/>
      <c r="R50" s="52"/>
      <c r="S50" s="52"/>
      <c r="T50" s="52"/>
      <c r="U50" s="52"/>
      <c r="V50" s="52"/>
      <c r="W50" s="52"/>
      <c r="X50" s="52"/>
      <c r="Y50" s="52"/>
      <c r="Z50" s="52"/>
      <c r="AA50" s="52"/>
      <c r="AB50" s="52"/>
    </row>
    <row r="51" spans="1:28" ht="15" customHeight="1" outlineLevel="2" x14ac:dyDescent="0.25">
      <c r="A51" s="48" t="s">
        <v>91</v>
      </c>
      <c r="B51" s="49">
        <f t="shared" ref="B51:E51" si="10">B53+B54+B55</f>
        <v>4.387579589292308</v>
      </c>
      <c r="C51" s="49">
        <f t="shared" si="10"/>
        <v>3.4034489459999997</v>
      </c>
      <c r="D51" s="49">
        <f t="shared" si="10"/>
        <v>0.44377910999999998</v>
      </c>
      <c r="E51" s="49">
        <f t="shared" si="10"/>
        <v>7.3472494252923077</v>
      </c>
      <c r="F51" s="49">
        <f>F53+F54+F55</f>
        <v>7.3472494252923077</v>
      </c>
      <c r="G51" s="49">
        <f>G53+G54+G55</f>
        <v>3.5565598023528211</v>
      </c>
      <c r="H51" s="50"/>
      <c r="I51" s="50">
        <f>SUM(I53:I55)</f>
        <v>2.6450097931052308</v>
      </c>
      <c r="J51" s="50">
        <f>SUM(J53:J55)</f>
        <v>1.2803615288470156</v>
      </c>
      <c r="K51" s="51">
        <f>IF(I51=0,0,J51/I51)</f>
        <v>0.48406683868791139</v>
      </c>
      <c r="L51" s="51">
        <f>+I51/$I$89</f>
        <v>3.6212207365393649E-2</v>
      </c>
      <c r="M51" s="6"/>
      <c r="N51" s="72"/>
      <c r="O51" s="141"/>
      <c r="P51" s="52"/>
      <c r="Q51" s="52"/>
      <c r="R51" s="52"/>
      <c r="S51" s="52"/>
      <c r="T51" s="52"/>
      <c r="U51" s="52"/>
      <c r="V51" s="52"/>
      <c r="W51" s="52"/>
      <c r="X51" s="52"/>
      <c r="Y51" s="52"/>
      <c r="Z51" s="52"/>
      <c r="AA51" s="52"/>
      <c r="AB51" s="52"/>
    </row>
    <row r="52" spans="1:28" ht="15" customHeight="1" outlineLevel="2" x14ac:dyDescent="0.25">
      <c r="A52" s="20"/>
      <c r="B52" s="21"/>
      <c r="C52" s="21"/>
      <c r="D52" s="21"/>
      <c r="E52" s="21"/>
      <c r="F52" s="22"/>
      <c r="G52" s="22"/>
      <c r="H52" s="23"/>
      <c r="I52" s="24"/>
      <c r="J52" s="25"/>
      <c r="K52" s="26"/>
      <c r="L52" s="26"/>
      <c r="M52" s="6"/>
      <c r="N52" s="52"/>
      <c r="O52" s="139"/>
      <c r="P52" s="52"/>
      <c r="Q52" s="52"/>
      <c r="R52" s="52"/>
      <c r="S52" s="52"/>
      <c r="T52" s="52"/>
      <c r="U52" s="52"/>
      <c r="V52" s="52"/>
      <c r="W52" s="52"/>
      <c r="X52" s="52"/>
      <c r="Y52" s="52"/>
      <c r="Z52" s="52"/>
      <c r="AA52" s="52"/>
      <c r="AB52" s="52"/>
    </row>
    <row r="53" spans="1:28" ht="15" customHeight="1" outlineLevel="2" x14ac:dyDescent="0.25">
      <c r="A53" s="55" t="s">
        <v>42</v>
      </c>
      <c r="B53" s="56">
        <f>MIN((B25-D25)*'data from oilseed masterfile'!U42,B25-D25-F25)*55%</f>
        <v>4.000338912352821</v>
      </c>
      <c r="C53" s="56"/>
      <c r="D53" s="56">
        <f>+'data from oilseed masterfile'!U37</f>
        <v>0.44377910999999998</v>
      </c>
      <c r="E53" s="56">
        <f>B53-D53</f>
        <v>3.5565598023528211</v>
      </c>
      <c r="F53" s="56">
        <f>(B53-D53)</f>
        <v>3.5565598023528211</v>
      </c>
      <c r="G53" s="56">
        <f>F53</f>
        <v>3.5565598023528211</v>
      </c>
      <c r="H53" s="61">
        <v>0.36</v>
      </c>
      <c r="I53" s="58">
        <f>F53*H53</f>
        <v>1.2803615288470156</v>
      </c>
      <c r="J53" s="58">
        <f>G53*H53</f>
        <v>1.2803615288470156</v>
      </c>
      <c r="K53" s="26"/>
      <c r="L53" s="26"/>
      <c r="M53" s="6">
        <f>+IF(H53&lt;15%,1,IF(H53&lt;30%,2,IF(H53&lt;50%,3,4)))</f>
        <v>3</v>
      </c>
      <c r="N53" s="52"/>
      <c r="O53" s="139"/>
      <c r="P53" s="52"/>
      <c r="Q53" s="52"/>
      <c r="R53" s="52"/>
      <c r="S53" s="52"/>
      <c r="T53" s="52"/>
      <c r="U53" s="52"/>
      <c r="V53" s="52"/>
      <c r="W53" s="52"/>
      <c r="X53" s="52"/>
      <c r="Y53" s="52"/>
      <c r="Z53" s="52"/>
      <c r="AA53" s="52"/>
      <c r="AB53" s="52"/>
    </row>
    <row r="54" spans="1:28" ht="15" customHeight="1" outlineLevel="2" x14ac:dyDescent="0.25">
      <c r="A54" s="55" t="s">
        <v>43</v>
      </c>
      <c r="B54" s="56">
        <f>C25*'data from oilseed masterfile'!U42*55%</f>
        <v>0.38724067693948722</v>
      </c>
      <c r="C54" s="56"/>
      <c r="D54" s="56"/>
      <c r="E54" s="56">
        <f>B54-D54</f>
        <v>0.38724067693948722</v>
      </c>
      <c r="F54" s="56">
        <f>(B54-D54)</f>
        <v>0.38724067693948722</v>
      </c>
      <c r="G54" s="56">
        <v>0</v>
      </c>
      <c r="H54" s="61">
        <v>0.36</v>
      </c>
      <c r="I54" s="58">
        <f>F54*H54</f>
        <v>0.1394066436982154</v>
      </c>
      <c r="J54" s="58">
        <f>G54*H54</f>
        <v>0</v>
      </c>
      <c r="K54" s="26"/>
      <c r="L54" s="26"/>
      <c r="M54" s="6">
        <f>+IF(H54&lt;15%,1,IF(H54&lt;30%,2,IF(H54&lt;50%,3,4)))</f>
        <v>3</v>
      </c>
      <c r="N54" s="52"/>
      <c r="O54" s="139"/>
      <c r="P54" s="52"/>
      <c r="Q54" s="52"/>
      <c r="R54" s="52"/>
      <c r="S54" s="52"/>
      <c r="T54" s="52"/>
      <c r="U54" s="52"/>
      <c r="V54" s="52"/>
      <c r="W54" s="52"/>
      <c r="X54" s="52"/>
      <c r="Y54" s="52"/>
      <c r="Z54" s="52"/>
      <c r="AA54" s="52"/>
      <c r="AB54" s="52"/>
    </row>
    <row r="55" spans="1:28" ht="15" customHeight="1" outlineLevel="2" x14ac:dyDescent="0.25">
      <c r="A55" s="55" t="s">
        <v>44</v>
      </c>
      <c r="B55" s="56"/>
      <c r="C55" s="56">
        <f>+'data from oilseed masterfile'!U33</f>
        <v>3.4034489459999997</v>
      </c>
      <c r="D55" s="56"/>
      <c r="E55" s="56">
        <f>C55</f>
        <v>3.4034489459999997</v>
      </c>
      <c r="F55" s="56">
        <f>C55-D55</f>
        <v>3.4034489459999997</v>
      </c>
      <c r="G55" s="56">
        <v>0</v>
      </c>
      <c r="H55" s="61">
        <v>0.36</v>
      </c>
      <c r="I55" s="58">
        <f>F55*H55</f>
        <v>1.2252416205599999</v>
      </c>
      <c r="J55" s="58">
        <f>G55*H55</f>
        <v>0</v>
      </c>
      <c r="K55" s="26"/>
      <c r="L55" s="26"/>
      <c r="M55" s="6">
        <f>+IF(H55&lt;15%,1,IF(H55&lt;30%,2,IF(H55&lt;50%,3,4)))</f>
        <v>3</v>
      </c>
      <c r="N55" s="73"/>
      <c r="O55" s="141"/>
      <c r="P55" s="52"/>
      <c r="Q55" s="52"/>
      <c r="R55" s="52"/>
      <c r="S55" s="52"/>
      <c r="T55" s="52"/>
      <c r="U55" s="52"/>
      <c r="V55" s="52"/>
      <c r="W55" s="52"/>
      <c r="X55" s="52"/>
      <c r="Y55" s="52"/>
      <c r="Z55" s="52"/>
      <c r="AA55" s="52"/>
      <c r="AB55" s="52"/>
    </row>
    <row r="56" spans="1:28" ht="12.75" customHeight="1" outlineLevel="2" x14ac:dyDescent="0.25">
      <c r="A56" s="20"/>
      <c r="B56" s="21"/>
      <c r="C56" s="21"/>
      <c r="D56" s="21"/>
      <c r="E56" s="21"/>
      <c r="F56" s="22"/>
      <c r="G56" s="22"/>
      <c r="H56" s="23"/>
      <c r="I56" s="24"/>
      <c r="J56" s="25"/>
      <c r="K56" s="26"/>
      <c r="L56" s="26"/>
      <c r="M56" s="6"/>
      <c r="N56" s="73"/>
      <c r="O56" s="141"/>
      <c r="P56" s="52"/>
      <c r="Q56" s="52"/>
      <c r="R56" s="52"/>
      <c r="S56" s="52"/>
      <c r="T56" s="52"/>
      <c r="U56" s="52"/>
      <c r="V56" s="52"/>
      <c r="W56" s="52"/>
      <c r="X56" s="52"/>
      <c r="Y56" s="52"/>
      <c r="Z56" s="52"/>
      <c r="AA56" s="52"/>
      <c r="AB56" s="52"/>
    </row>
    <row r="57" spans="1:28" ht="15" customHeight="1" outlineLevel="2" x14ac:dyDescent="0.25">
      <c r="A57" s="48" t="s">
        <v>92</v>
      </c>
      <c r="B57" s="49">
        <f t="shared" ref="B57:E57" si="11">B59+B60+B61</f>
        <v>0.60399999999999998</v>
      </c>
      <c r="C57" s="49">
        <f t="shared" si="11"/>
        <v>1.598289055</v>
      </c>
      <c r="D57" s="49">
        <f t="shared" si="11"/>
        <v>0.16865867800000001</v>
      </c>
      <c r="E57" s="49">
        <f t="shared" si="11"/>
        <v>2.0336303769999997</v>
      </c>
      <c r="F57" s="49">
        <f>F59+F60+F61</f>
        <v>2.0336303769999997</v>
      </c>
      <c r="G57" s="49">
        <f>G59+G60+G61</f>
        <v>6.188266399999999E-2</v>
      </c>
      <c r="H57" s="50"/>
      <c r="I57" s="50">
        <f>SUM(I59:I61)</f>
        <v>0.43611823345</v>
      </c>
      <c r="J57" s="50">
        <f>SUM(J59:J61)</f>
        <v>4.3452128869999995E-2</v>
      </c>
      <c r="K57" s="51">
        <f>IF(I57=0,0,J57/I57)</f>
        <v>9.9633827566124183E-2</v>
      </c>
      <c r="L57" s="51">
        <f>+I57/$I$89</f>
        <v>5.9707922241678613E-3</v>
      </c>
      <c r="M57" s="6"/>
      <c r="N57" s="73"/>
      <c r="O57" s="141"/>
      <c r="P57" s="52"/>
      <c r="Q57" s="52"/>
      <c r="R57" s="52"/>
      <c r="S57" s="52"/>
      <c r="T57" s="52"/>
      <c r="U57" s="52"/>
      <c r="V57" s="52"/>
      <c r="W57" s="52"/>
      <c r="X57" s="52"/>
      <c r="Y57" s="52"/>
      <c r="Z57" s="52"/>
      <c r="AA57" s="52"/>
      <c r="AB57" s="52"/>
    </row>
    <row r="58" spans="1:28" ht="15" customHeight="1" outlineLevel="2" x14ac:dyDescent="0.25">
      <c r="A58" s="20"/>
      <c r="B58" s="21"/>
      <c r="C58" s="21"/>
      <c r="D58" s="21"/>
      <c r="E58" s="21"/>
      <c r="F58" s="22"/>
      <c r="G58" s="22"/>
      <c r="H58" s="23"/>
      <c r="I58" s="24"/>
      <c r="J58" s="25"/>
      <c r="K58" s="26"/>
      <c r="L58" s="26"/>
      <c r="M58" s="6"/>
      <c r="N58" s="73"/>
      <c r="O58" s="141"/>
      <c r="P58" s="52"/>
      <c r="Q58" s="52"/>
      <c r="R58" s="52"/>
      <c r="S58" s="52"/>
      <c r="T58" s="52"/>
      <c r="U58" s="52"/>
      <c r="V58" s="52"/>
      <c r="W58" s="52"/>
      <c r="X58" s="52"/>
      <c r="Y58" s="52"/>
      <c r="Z58" s="52"/>
      <c r="AA58" s="52"/>
      <c r="AB58" s="52"/>
    </row>
    <row r="59" spans="1:28" ht="15" customHeight="1" outlineLevel="2" x14ac:dyDescent="0.25">
      <c r="A59" s="55" t="s">
        <v>46</v>
      </c>
      <c r="B59" s="56">
        <v>0</v>
      </c>
      <c r="C59" s="56">
        <v>1.5429339879999999</v>
      </c>
      <c r="D59" s="56">
        <v>9.7883539000000006E-2</v>
      </c>
      <c r="E59" s="56">
        <f>B59+C59-D59</f>
        <v>1.445050449</v>
      </c>
      <c r="F59" s="56">
        <f>E59</f>
        <v>1.445050449</v>
      </c>
      <c r="G59" s="56">
        <f>IF(B59&gt;E59,F59,F59*(B59-D59)/E59)</f>
        <v>-9.7883539000000006E-2</v>
      </c>
      <c r="H59" s="63">
        <v>0.16</v>
      </c>
      <c r="I59" s="58">
        <f>F59*H59</f>
        <v>0.23120807184</v>
      </c>
      <c r="J59" s="58">
        <f>G59*H59</f>
        <v>-1.5661366240000002E-2</v>
      </c>
      <c r="K59" s="26"/>
      <c r="L59" s="26"/>
      <c r="M59" s="6">
        <f>+IF(H59&lt;15%,1,IF(H59&lt;30%,2,IF(H59&lt;50%,3,4)))</f>
        <v>2</v>
      </c>
      <c r="N59" s="52"/>
      <c r="O59" s="139"/>
      <c r="P59" s="52"/>
      <c r="Q59" s="52"/>
      <c r="R59" s="52"/>
      <c r="S59" s="52"/>
      <c r="T59" s="52"/>
      <c r="U59" s="52"/>
      <c r="V59" s="52"/>
      <c r="W59" s="52"/>
      <c r="X59" s="52"/>
      <c r="Y59" s="52"/>
      <c r="Z59" s="52"/>
      <c r="AA59" s="52"/>
      <c r="AB59" s="52"/>
    </row>
    <row r="60" spans="1:28" ht="15" customHeight="1" outlineLevel="2" x14ac:dyDescent="0.25">
      <c r="A60" s="55" t="s">
        <v>47</v>
      </c>
      <c r="B60" s="56">
        <v>0.41699999999999998</v>
      </c>
      <c r="C60" s="56">
        <v>2.3712862000000001E-2</v>
      </c>
      <c r="D60" s="56">
        <v>1.1899137000000001E-2</v>
      </c>
      <c r="E60" s="56">
        <f>B60+C60-D60</f>
        <v>0.42881372499999998</v>
      </c>
      <c r="F60" s="56">
        <f>E60</f>
        <v>0.42881372499999998</v>
      </c>
      <c r="G60" s="56">
        <v>0</v>
      </c>
      <c r="H60" s="61">
        <v>0.34</v>
      </c>
      <c r="I60" s="58">
        <f>F60*H60</f>
        <v>0.14579666650000001</v>
      </c>
      <c r="J60" s="58">
        <f>G60*H60</f>
        <v>0</v>
      </c>
      <c r="K60" s="26"/>
      <c r="L60" s="26"/>
      <c r="M60" s="6">
        <f>+IF(H60&lt;15%,1,IF(H60&lt;30%,2,IF(H60&lt;50%,3,4)))</f>
        <v>3</v>
      </c>
      <c r="N60" s="52"/>
      <c r="O60" s="139"/>
      <c r="P60" s="52"/>
      <c r="Q60" s="52"/>
      <c r="R60" s="52"/>
      <c r="S60" s="52"/>
      <c r="T60" s="52"/>
      <c r="U60" s="52"/>
      <c r="V60" s="52"/>
      <c r="W60" s="52"/>
      <c r="X60" s="52"/>
      <c r="Y60" s="52"/>
      <c r="Z60" s="52"/>
      <c r="AA60" s="52"/>
      <c r="AB60" s="52"/>
    </row>
    <row r="61" spans="1:28" ht="15" customHeight="1" outlineLevel="2" x14ac:dyDescent="0.25">
      <c r="A61" s="55" t="s">
        <v>48</v>
      </c>
      <c r="B61" s="56">
        <v>0.187</v>
      </c>
      <c r="C61" s="56">
        <v>3.1642205E-2</v>
      </c>
      <c r="D61" s="56">
        <v>5.8876001999999997E-2</v>
      </c>
      <c r="E61" s="56">
        <f>B61+C61-D61</f>
        <v>0.159766203</v>
      </c>
      <c r="F61" s="56">
        <f>E61</f>
        <v>0.159766203</v>
      </c>
      <c r="G61" s="56">
        <f>IF(B61&gt;E61,F61,F61*(B61-D61)/E61)</f>
        <v>0.159766203</v>
      </c>
      <c r="H61" s="61">
        <v>0.37</v>
      </c>
      <c r="I61" s="58">
        <f>F61*H61</f>
        <v>5.9113495109999997E-2</v>
      </c>
      <c r="J61" s="58">
        <f>G61*H61</f>
        <v>5.9113495109999997E-2</v>
      </c>
      <c r="K61" s="26"/>
      <c r="L61" s="26"/>
      <c r="M61" s="6">
        <f>+IF(H61&lt;15%,1,IF(H61&lt;30%,2,IF(H61&lt;50%,3,4)))</f>
        <v>3</v>
      </c>
      <c r="N61" s="52"/>
      <c r="O61" s="139"/>
      <c r="P61" s="52"/>
      <c r="Q61" s="52"/>
      <c r="R61" s="52"/>
      <c r="S61" s="52"/>
      <c r="T61" s="52"/>
      <c r="U61" s="52"/>
      <c r="V61" s="52"/>
      <c r="W61" s="52"/>
      <c r="X61" s="52"/>
      <c r="Y61" s="52"/>
      <c r="Z61" s="52"/>
      <c r="AA61" s="52"/>
      <c r="AB61" s="52"/>
    </row>
    <row r="62" spans="1:28" ht="12.75" customHeight="1" outlineLevel="2" x14ac:dyDescent="0.25">
      <c r="A62" s="20"/>
      <c r="B62" s="21"/>
      <c r="C62" s="21"/>
      <c r="D62" s="21"/>
      <c r="E62" s="21"/>
      <c r="F62" s="22"/>
      <c r="G62" s="22"/>
      <c r="H62" s="23"/>
      <c r="I62" s="24"/>
      <c r="J62" s="25"/>
      <c r="K62" s="26"/>
      <c r="L62" s="26"/>
      <c r="M62" s="6"/>
      <c r="N62" s="73"/>
      <c r="O62" s="141"/>
      <c r="P62" s="52"/>
      <c r="Q62" s="52"/>
      <c r="R62" s="52"/>
      <c r="S62" s="52"/>
      <c r="T62" s="52"/>
      <c r="U62" s="52"/>
      <c r="V62" s="52"/>
      <c r="W62" s="52"/>
      <c r="X62" s="52"/>
      <c r="Y62" s="52"/>
      <c r="Z62" s="52"/>
      <c r="AA62" s="52"/>
      <c r="AB62" s="52"/>
    </row>
    <row r="63" spans="1:28" ht="19.5" customHeight="1" outlineLevel="1" x14ac:dyDescent="0.25">
      <c r="A63" s="48" t="s">
        <v>49</v>
      </c>
      <c r="B63" s="49">
        <f t="shared" ref="B63:E63" si="12">SUM(B65:B72)</f>
        <v>32.730685872149763</v>
      </c>
      <c r="C63" s="49">
        <f t="shared" si="12"/>
        <v>3.8309769199999995</v>
      </c>
      <c r="D63" s="49">
        <f t="shared" si="12"/>
        <v>1.6788954889999999</v>
      </c>
      <c r="E63" s="49">
        <f t="shared" si="12"/>
        <v>34.882767303149762</v>
      </c>
      <c r="F63" s="49">
        <f>SUM(F65:F72)</f>
        <v>31.64681905702551</v>
      </c>
      <c r="G63" s="49">
        <f>SUM(G65:G72)</f>
        <v>29.551026283025514</v>
      </c>
      <c r="H63" s="50"/>
      <c r="I63" s="50">
        <f>SUM(I65:I72)</f>
        <v>4.8145197855140545</v>
      </c>
      <c r="J63" s="50">
        <f>SUM(J65:J72)</f>
        <v>4.4802681425350537</v>
      </c>
      <c r="K63" s="51">
        <f>IF(I63=0,0,J63/I63)</f>
        <v>0.93057425083500578</v>
      </c>
      <c r="L63" s="51">
        <f>+I63/$I$89</f>
        <v>6.5914458726122852E-2</v>
      </c>
      <c r="M63" s="6"/>
      <c r="N63" s="52"/>
      <c r="O63" s="139"/>
      <c r="P63" s="52"/>
      <c r="Q63" s="52"/>
      <c r="R63" s="52"/>
      <c r="S63" s="52"/>
      <c r="T63" s="52"/>
      <c r="U63" s="52"/>
      <c r="V63" s="52"/>
      <c r="W63" s="52"/>
      <c r="X63" s="52"/>
      <c r="Y63" s="52"/>
      <c r="Z63" s="52"/>
      <c r="AA63" s="52"/>
      <c r="AB63" s="52"/>
    </row>
    <row r="64" spans="1:28" ht="15" customHeight="1" outlineLevel="2" x14ac:dyDescent="0.25">
      <c r="A64" s="20"/>
      <c r="B64" s="21"/>
      <c r="C64" s="21"/>
      <c r="D64" s="21"/>
      <c r="E64" s="21"/>
      <c r="F64" s="22"/>
      <c r="G64" s="22"/>
      <c r="H64" s="23"/>
      <c r="I64" s="24"/>
      <c r="J64" s="25"/>
      <c r="K64" s="26"/>
      <c r="L64" s="26"/>
      <c r="M64" s="6"/>
      <c r="N64" s="52"/>
      <c r="O64" s="139"/>
      <c r="P64" s="52"/>
      <c r="Q64" s="52"/>
      <c r="R64" s="52"/>
      <c r="S64" s="52"/>
      <c r="T64" s="52"/>
      <c r="U64" s="52"/>
      <c r="V64" s="52"/>
      <c r="W64" s="52"/>
      <c r="X64" s="52"/>
      <c r="Y64" s="52"/>
      <c r="Z64" s="52"/>
      <c r="AA64" s="52"/>
      <c r="AB64" s="52"/>
    </row>
    <row r="65" spans="1:28" ht="15" customHeight="1" outlineLevel="2" x14ac:dyDescent="0.25">
      <c r="A65" s="55" t="s">
        <v>50</v>
      </c>
      <c r="B65" s="56">
        <v>4.1053753422353632</v>
      </c>
      <c r="C65" s="56">
        <v>0.57184606999999987</v>
      </c>
      <c r="D65" s="56">
        <v>0.62019973699999986</v>
      </c>
      <c r="E65" s="56">
        <f t="shared" ref="E65:E67" si="13">B65+C65-D65</f>
        <v>4.0570216752353634</v>
      </c>
      <c r="F65" s="56">
        <f>E65</f>
        <v>4.0570216752353634</v>
      </c>
      <c r="G65" s="56">
        <f>+F65</f>
        <v>4.0570216752353634</v>
      </c>
      <c r="H65" s="63">
        <v>0.19</v>
      </c>
      <c r="I65" s="58">
        <f>F65*H65</f>
        <v>0.77083411829471904</v>
      </c>
      <c r="J65" s="58">
        <f>G65*H65</f>
        <v>0.77083411829471904</v>
      </c>
      <c r="K65" s="26"/>
      <c r="L65" s="26"/>
      <c r="M65" s="6">
        <f t="shared" ref="M65:M71" si="14">+IF(H65&lt;15%,1,IF(H65&lt;30%,2,IF(H65&lt;50%,3,4)))</f>
        <v>2</v>
      </c>
      <c r="N65" s="52"/>
      <c r="O65" s="139"/>
      <c r="P65" s="52"/>
      <c r="Q65" s="52"/>
      <c r="R65" s="52"/>
      <c r="S65" s="52"/>
      <c r="T65" s="52"/>
      <c r="U65" s="52"/>
      <c r="V65" s="52"/>
      <c r="W65" s="52"/>
      <c r="X65" s="52"/>
      <c r="Y65" s="52"/>
      <c r="Z65" s="52"/>
      <c r="AA65" s="52"/>
      <c r="AB65" s="52"/>
    </row>
    <row r="66" spans="1:28" outlineLevel="2" x14ac:dyDescent="0.25">
      <c r="A66" s="55" t="s">
        <v>51</v>
      </c>
      <c r="B66" s="56">
        <v>1.0253785852260273</v>
      </c>
      <c r="C66" s="56"/>
      <c r="D66" s="56"/>
      <c r="E66" s="56">
        <f t="shared" si="13"/>
        <v>1.0253785852260273</v>
      </c>
      <c r="F66" s="56">
        <v>0.68037446852337324</v>
      </c>
      <c r="G66" s="56">
        <f>+F66</f>
        <v>0.68037446852337324</v>
      </c>
      <c r="H66" s="65">
        <v>0.73</v>
      </c>
      <c r="I66" s="58">
        <f>F66*H66</f>
        <v>0.49667336202206247</v>
      </c>
      <c r="J66" s="58">
        <f>G66*H66</f>
        <v>0.49667336202206247</v>
      </c>
      <c r="K66" s="26"/>
      <c r="L66" s="26"/>
      <c r="M66" s="6">
        <f t="shared" si="14"/>
        <v>4</v>
      </c>
      <c r="N66" s="52"/>
      <c r="O66" s="139"/>
      <c r="P66" s="52"/>
      <c r="Q66" s="52"/>
      <c r="R66" s="52"/>
      <c r="S66" s="52"/>
      <c r="T66" s="52"/>
      <c r="U66" s="52"/>
      <c r="V66" s="52"/>
      <c r="W66" s="52"/>
      <c r="X66" s="52"/>
      <c r="Y66" s="52"/>
      <c r="Z66" s="52"/>
      <c r="AA66" s="52"/>
      <c r="AB66" s="52"/>
    </row>
    <row r="67" spans="1:28" ht="29.25" customHeight="1" outlineLevel="2" x14ac:dyDescent="0.25">
      <c r="A67" s="66" t="s">
        <v>52</v>
      </c>
      <c r="B67" s="67">
        <f>'data from cereal masterfile'!G60*(G77*0.362+(1-G77)*0.276)</f>
        <v>4.0977335095492142</v>
      </c>
      <c r="C67" s="67">
        <v>0.88587138700000001</v>
      </c>
      <c r="D67" s="67">
        <v>0.37782965899999998</v>
      </c>
      <c r="E67" s="67">
        <f t="shared" si="13"/>
        <v>4.6057752375492145</v>
      </c>
      <c r="F67" s="67">
        <f>E67</f>
        <v>4.6057752375492145</v>
      </c>
      <c r="G67" s="67">
        <f>IF(B67&gt;E67,F67,F67*(B67-D67)/E67)</f>
        <v>3.7199038505492141</v>
      </c>
      <c r="H67" s="68" t="s">
        <v>53</v>
      </c>
      <c r="I67" s="69">
        <f>(B67-D67)*0.3+C67*0.27</f>
        <v>1.3551564296547642</v>
      </c>
      <c r="J67" s="69">
        <f>(B67-D67)*0.3</f>
        <v>1.1159711551647642</v>
      </c>
      <c r="K67" s="26"/>
      <c r="L67" s="26"/>
      <c r="M67" s="6">
        <v>2</v>
      </c>
      <c r="N67" s="52"/>
      <c r="O67" s="139"/>
      <c r="P67" s="52"/>
      <c r="Q67" s="52"/>
      <c r="R67" s="52"/>
      <c r="S67" s="52"/>
      <c r="T67" s="52"/>
      <c r="U67" s="52"/>
      <c r="V67" s="52"/>
      <c r="W67" s="52"/>
      <c r="X67" s="52"/>
      <c r="Y67" s="52"/>
      <c r="Z67" s="52"/>
      <c r="AA67" s="52"/>
      <c r="AB67" s="52"/>
    </row>
    <row r="68" spans="1:28" ht="15" customHeight="1" outlineLevel="2" x14ac:dyDescent="0.25">
      <c r="A68" s="55" t="s">
        <v>54</v>
      </c>
      <c r="B68" s="56">
        <v>6.0736233869500005</v>
      </c>
      <c r="C68" s="56"/>
      <c r="D68" s="56"/>
      <c r="E68" s="56">
        <f>+B68+C68-D68</f>
        <v>6.0736233869500005</v>
      </c>
      <c r="F68" s="56">
        <f>+E68</f>
        <v>6.0736233869500005</v>
      </c>
      <c r="G68" s="56">
        <f>+F68</f>
        <v>6.0736233869500005</v>
      </c>
      <c r="H68" s="57">
        <v>5.3999999999999999E-2</v>
      </c>
      <c r="I68" s="58">
        <f>+F68*$H$68</f>
        <v>0.3279756628953</v>
      </c>
      <c r="J68" s="58">
        <f>+G68*$H$68</f>
        <v>0.3279756628953</v>
      </c>
      <c r="K68" s="26"/>
      <c r="L68" s="26"/>
      <c r="M68" s="6">
        <f t="shared" si="14"/>
        <v>1</v>
      </c>
      <c r="N68" s="52"/>
      <c r="O68" s="139"/>
      <c r="P68" s="52"/>
      <c r="Q68" s="52"/>
      <c r="R68" s="52"/>
      <c r="S68" s="52"/>
      <c r="T68" s="52"/>
      <c r="U68" s="52"/>
      <c r="V68" s="52"/>
      <c r="W68" s="52"/>
      <c r="X68" s="52"/>
      <c r="Y68" s="52"/>
      <c r="Z68" s="52"/>
      <c r="AA68" s="52"/>
      <c r="AB68" s="52"/>
    </row>
    <row r="69" spans="1:28" ht="15" customHeight="1" outlineLevel="2" x14ac:dyDescent="0.25">
      <c r="A69" s="55" t="s">
        <v>55</v>
      </c>
      <c r="B69" s="56">
        <f>('data from cereal masterfile'!G63+'data from cereal masterfile'!G65)*0.15</f>
        <v>7.3821930373291575</v>
      </c>
      <c r="C69" s="56">
        <v>2.8802745000000001E-2</v>
      </c>
      <c r="D69" s="56">
        <v>0.25134743199999998</v>
      </c>
      <c r="E69" s="56">
        <f>B69+C69-D69</f>
        <v>7.1596483503291575</v>
      </c>
      <c r="F69" s="56">
        <f>E69</f>
        <v>7.1596483503291575</v>
      </c>
      <c r="G69" s="56">
        <f>IF(B69&gt;E69,F69,F69*(B69-D69)/E69)</f>
        <v>7.1596483503291575</v>
      </c>
      <c r="H69" s="71">
        <v>0.155</v>
      </c>
      <c r="I69" s="58">
        <f>F69*H69</f>
        <v>1.1097454943010194</v>
      </c>
      <c r="J69" s="58">
        <f>G69*H69</f>
        <v>1.1097454943010194</v>
      </c>
      <c r="K69" s="26"/>
      <c r="L69" s="26"/>
      <c r="M69" s="6">
        <f t="shared" si="14"/>
        <v>2</v>
      </c>
      <c r="N69" s="52"/>
      <c r="O69" s="139"/>
      <c r="P69" s="52"/>
      <c r="Q69" s="134"/>
      <c r="R69" s="52"/>
      <c r="S69" s="52"/>
      <c r="T69" s="52"/>
      <c r="U69" s="52"/>
      <c r="V69" s="52"/>
      <c r="W69" s="72"/>
      <c r="X69" s="73"/>
      <c r="Y69" s="73"/>
      <c r="Z69" s="73"/>
      <c r="AA69" s="74"/>
      <c r="AB69" s="74"/>
    </row>
    <row r="70" spans="1:28" outlineLevel="2" x14ac:dyDescent="0.25">
      <c r="A70" s="55" t="s">
        <v>56</v>
      </c>
      <c r="B70" s="56">
        <v>0</v>
      </c>
      <c r="C70" s="56">
        <v>0.13816049499999999</v>
      </c>
      <c r="D70" s="56">
        <v>8.8052240000000004E-3</v>
      </c>
      <c r="E70" s="56">
        <f>B70+C70-D70</f>
        <v>0.12935527099999999</v>
      </c>
      <c r="F70" s="56">
        <f>E70</f>
        <v>0.12935527099999999</v>
      </c>
      <c r="G70" s="56">
        <f>IF(B70&gt;E70,F70,F70*B70/E70)</f>
        <v>0</v>
      </c>
      <c r="H70" s="57">
        <v>7.4999999999999997E-2</v>
      </c>
      <c r="I70" s="58">
        <f>F70*H70</f>
        <v>9.7016453249999992E-3</v>
      </c>
      <c r="J70" s="58">
        <f>G70*H70</f>
        <v>0</v>
      </c>
      <c r="K70" s="26"/>
      <c r="L70" s="26"/>
      <c r="M70" s="6">
        <f t="shared" si="14"/>
        <v>1</v>
      </c>
      <c r="N70" s="52"/>
      <c r="O70" s="139"/>
      <c r="P70" s="52"/>
      <c r="Q70" s="134"/>
      <c r="R70" s="135"/>
      <c r="S70" s="52"/>
      <c r="T70" s="52"/>
      <c r="U70" s="52"/>
      <c r="V70" s="52"/>
      <c r="W70" s="72"/>
      <c r="X70" s="73"/>
      <c r="Y70" s="72"/>
      <c r="Z70" s="75"/>
      <c r="AA70" s="76"/>
      <c r="AB70" s="74"/>
    </row>
    <row r="71" spans="1:28" ht="15" customHeight="1" outlineLevel="2" x14ac:dyDescent="0.25">
      <c r="A71" s="55" t="s">
        <v>57</v>
      </c>
      <c r="B71" s="56">
        <v>6.6975880072400011</v>
      </c>
      <c r="C71" s="56">
        <v>1.080566116</v>
      </c>
      <c r="D71" s="56">
        <v>0.197577752</v>
      </c>
      <c r="E71" s="56">
        <f>B71+C71-D71</f>
        <v>7.5805763712400012</v>
      </c>
      <c r="F71" s="56">
        <f>E71</f>
        <v>7.5805763712400012</v>
      </c>
      <c r="G71" s="56">
        <f>IF(B71&gt;E71,F71,F71*(B71-D71)/E71)</f>
        <v>6.5000102552400012</v>
      </c>
      <c r="H71" s="57">
        <v>7.9000000000000001E-2</v>
      </c>
      <c r="I71" s="58">
        <f>F71*H71</f>
        <v>0.59886553332796011</v>
      </c>
      <c r="J71" s="58">
        <f>G71*H71</f>
        <v>0.5135008101639601</v>
      </c>
      <c r="K71" s="26"/>
      <c r="L71" s="26"/>
      <c r="M71" s="6">
        <f t="shared" si="14"/>
        <v>1</v>
      </c>
      <c r="N71" s="52"/>
      <c r="O71" s="139"/>
      <c r="P71" s="52"/>
      <c r="Q71" s="52"/>
      <c r="R71" s="52"/>
      <c r="S71" s="52"/>
      <c r="T71" s="52"/>
      <c r="U71" s="52"/>
      <c r="V71" s="52"/>
      <c r="W71" s="52"/>
      <c r="X71" s="52"/>
      <c r="Y71" s="52"/>
      <c r="Z71" s="52"/>
      <c r="AA71" s="52"/>
      <c r="AB71" s="52"/>
    </row>
    <row r="72" spans="1:28" ht="30" customHeight="1" outlineLevel="2" x14ac:dyDescent="0.25">
      <c r="A72" s="66" t="s">
        <v>58</v>
      </c>
      <c r="B72" s="67">
        <v>3.3487940036200006</v>
      </c>
      <c r="C72" s="67">
        <v>1.1257301070000001</v>
      </c>
      <c r="D72" s="67">
        <v>0.22313568499999997</v>
      </c>
      <c r="E72" s="67">
        <f>B72+C72-D72</f>
        <v>4.251388425620001</v>
      </c>
      <c r="F72" s="67">
        <f>E72*0.32</f>
        <v>1.3604442961984002</v>
      </c>
      <c r="G72" s="67">
        <f>+IF(B72&gt;F72,F72,B72-D72)</f>
        <v>1.3604442961984002</v>
      </c>
      <c r="H72" s="77" t="s">
        <v>95</v>
      </c>
      <c r="I72" s="69">
        <f>G72*0.107+(F72-G72)*0.042</f>
        <v>0.14556753969322883</v>
      </c>
      <c r="J72" s="69">
        <f>G72*0.107</f>
        <v>0.14556753969322883</v>
      </c>
      <c r="K72" s="26"/>
      <c r="L72" s="26"/>
      <c r="M72" s="6">
        <v>1</v>
      </c>
      <c r="N72" s="52"/>
      <c r="O72" s="139"/>
      <c r="P72" s="52"/>
      <c r="Q72" s="52"/>
      <c r="R72" s="52"/>
      <c r="S72" s="52"/>
      <c r="T72" s="52"/>
      <c r="U72" s="52"/>
      <c r="V72" s="52"/>
      <c r="W72" s="52"/>
      <c r="X72" s="52"/>
      <c r="Y72" s="52"/>
      <c r="Z72" s="52"/>
      <c r="AA72" s="52"/>
      <c r="AB72" s="52"/>
    </row>
    <row r="73" spans="1:28" ht="12.75" customHeight="1" x14ac:dyDescent="0.25">
      <c r="A73" s="20"/>
      <c r="B73" s="21"/>
      <c r="C73" s="21"/>
      <c r="D73" s="21"/>
      <c r="E73" s="21"/>
      <c r="F73" s="22"/>
      <c r="G73" s="22"/>
      <c r="H73" s="23"/>
      <c r="I73" s="24"/>
      <c r="J73" s="25"/>
      <c r="K73" s="26"/>
      <c r="L73" s="26"/>
      <c r="M73" s="6"/>
      <c r="N73" s="52"/>
      <c r="O73" s="139"/>
      <c r="P73" s="52"/>
      <c r="Q73" s="52"/>
      <c r="R73" s="52"/>
      <c r="S73" s="52"/>
      <c r="T73" s="52"/>
      <c r="U73" s="52"/>
      <c r="V73" s="52"/>
      <c r="W73" s="52"/>
      <c r="X73" s="52"/>
      <c r="Y73" s="52"/>
      <c r="Z73" s="52"/>
      <c r="AA73" s="52"/>
      <c r="AB73" s="52"/>
    </row>
    <row r="74" spans="1:28" ht="36.75" customHeight="1" x14ac:dyDescent="0.25">
      <c r="A74" s="27" t="s">
        <v>60</v>
      </c>
      <c r="B74" s="28"/>
      <c r="C74" s="28"/>
      <c r="D74" s="28"/>
      <c r="E74" s="28"/>
      <c r="F74" s="29">
        <f>SUM(F76:F80)</f>
        <v>6.3665718472223025</v>
      </c>
      <c r="G74" s="29">
        <f>SUM(G76:G80)</f>
        <v>6.2158833582223023</v>
      </c>
      <c r="H74" s="30"/>
      <c r="I74" s="30">
        <f>SUM(I76:I80)</f>
        <v>1.8989439679224946</v>
      </c>
      <c r="J74" s="30">
        <f>SUM(J76:J80)</f>
        <v>1.8048483321724946</v>
      </c>
      <c r="K74" s="31">
        <f>IF(I74=0,0,J74/I74)</f>
        <v>0.95044844011224638</v>
      </c>
      <c r="L74" s="31">
        <f>+I74/$I$89</f>
        <v>2.5997995516282388E-2</v>
      </c>
      <c r="M74" s="6"/>
      <c r="N74" s="52"/>
      <c r="O74" s="139"/>
      <c r="P74" s="52"/>
      <c r="Q74" s="52"/>
      <c r="R74" s="52"/>
      <c r="S74" s="52"/>
      <c r="T74" s="52"/>
      <c r="U74" s="52"/>
      <c r="V74" s="52"/>
      <c r="W74" s="52"/>
      <c r="X74" s="52"/>
      <c r="Y74" s="52"/>
      <c r="Z74" s="52"/>
      <c r="AA74" s="52"/>
      <c r="AB74" s="52"/>
    </row>
    <row r="75" spans="1:28" ht="15" customHeight="1" outlineLevel="1" x14ac:dyDescent="0.25">
      <c r="A75" s="20" t="s">
        <v>61</v>
      </c>
      <c r="B75" s="21"/>
      <c r="C75" s="21"/>
      <c r="D75" s="21"/>
      <c r="E75" s="21"/>
      <c r="F75" s="22"/>
      <c r="G75" s="22"/>
      <c r="H75" s="23"/>
      <c r="I75" s="24"/>
      <c r="J75" s="25"/>
      <c r="K75" s="26"/>
      <c r="L75" s="26"/>
      <c r="M75" s="6"/>
      <c r="N75" s="52"/>
      <c r="O75" s="139"/>
      <c r="P75" s="52"/>
      <c r="Q75" s="52"/>
      <c r="R75" s="52"/>
      <c r="S75" s="52"/>
      <c r="T75" s="52"/>
      <c r="U75" s="52"/>
      <c r="V75" s="52"/>
      <c r="W75" s="52"/>
      <c r="X75" s="52"/>
      <c r="Y75" s="52"/>
      <c r="Z75" s="52"/>
      <c r="AA75" s="52"/>
      <c r="AB75" s="52"/>
    </row>
    <row r="76" spans="1:28" ht="15" customHeight="1" outlineLevel="1" x14ac:dyDescent="0.25">
      <c r="A76" s="55" t="s">
        <v>96</v>
      </c>
      <c r="B76" s="56">
        <v>0.46899999999999997</v>
      </c>
      <c r="C76" s="56">
        <v>0.20968201300000003</v>
      </c>
      <c r="D76" s="56">
        <v>0.20165582400000001</v>
      </c>
      <c r="E76" s="56">
        <f>B76+C76-D76</f>
        <v>0.47702618899999993</v>
      </c>
      <c r="F76" s="56">
        <f>E76</f>
        <v>0.47702618899999993</v>
      </c>
      <c r="G76" s="56">
        <f>IF(B76&gt;E76,F76,F76*B76/E76)</f>
        <v>0.46899999999999997</v>
      </c>
      <c r="H76" s="65">
        <v>0.65</v>
      </c>
      <c r="I76" s="58">
        <f>F76*H76</f>
        <v>0.31006702284999998</v>
      </c>
      <c r="J76" s="58">
        <f>G76*H76</f>
        <v>0.30485000000000001</v>
      </c>
      <c r="K76" s="26"/>
      <c r="L76" s="26"/>
      <c r="M76" s="6">
        <f>+IF(H76&lt;15%,1,IF(H76&lt;30%,2,IF(H76&lt;50%,3,4)))</f>
        <v>4</v>
      </c>
      <c r="N76" s="52"/>
      <c r="O76" s="139"/>
      <c r="P76" s="52"/>
      <c r="Q76" s="52"/>
      <c r="R76" s="52"/>
      <c r="S76" s="52"/>
      <c r="T76" s="52"/>
      <c r="U76" s="52"/>
      <c r="V76" s="52"/>
      <c r="W76" s="52"/>
      <c r="X76" s="52"/>
      <c r="Y76" s="52"/>
      <c r="Z76" s="52"/>
      <c r="AA76" s="52"/>
      <c r="AB76" s="52"/>
    </row>
    <row r="77" spans="1:28" outlineLevel="1" x14ac:dyDescent="0.25">
      <c r="A77" s="55" t="s">
        <v>97</v>
      </c>
      <c r="B77" s="56">
        <v>1.8155120704222261</v>
      </c>
      <c r="C77" s="56">
        <v>0.14382744499999997</v>
      </c>
      <c r="D77" s="56">
        <v>0.70629582399999991</v>
      </c>
      <c r="E77" s="56">
        <f>B77+C77-D77</f>
        <v>1.253043691422226</v>
      </c>
      <c r="F77" s="56">
        <v>0.9</v>
      </c>
      <c r="G77" s="56">
        <v>0.9</v>
      </c>
      <c r="H77" s="57">
        <v>0.125</v>
      </c>
      <c r="I77" s="58">
        <f>F77*H77</f>
        <v>0.1125</v>
      </c>
      <c r="J77" s="58">
        <f>G77*H77</f>
        <v>0.1125</v>
      </c>
      <c r="K77" s="26"/>
      <c r="L77" s="26"/>
      <c r="M77" s="6">
        <f>+IF(H77&lt;15%,1,IF(H77&lt;30%,2,IF(H77&lt;50%,3,4)))</f>
        <v>1</v>
      </c>
      <c r="N77" s="52"/>
      <c r="O77" s="139"/>
      <c r="P77" s="52"/>
      <c r="Q77" s="52"/>
      <c r="R77" s="52"/>
      <c r="S77" s="52"/>
      <c r="T77" s="52"/>
      <c r="U77" s="52"/>
      <c r="V77" s="52"/>
      <c r="W77" s="52"/>
      <c r="X77" s="52"/>
      <c r="Y77" s="52"/>
      <c r="Z77" s="52"/>
      <c r="AA77" s="52"/>
      <c r="AB77" s="52"/>
    </row>
    <row r="78" spans="1:28" ht="15" customHeight="1" outlineLevel="1" x14ac:dyDescent="0.25">
      <c r="A78" s="55" t="s">
        <v>98</v>
      </c>
      <c r="B78" s="56">
        <v>1.4671010915955354</v>
      </c>
      <c r="C78" s="56">
        <v>4.3813683000000006E-2</v>
      </c>
      <c r="D78" s="56">
        <v>0.70868737399999993</v>
      </c>
      <c r="E78" s="56">
        <f>B78+C78-D78</f>
        <v>0.80222740059553543</v>
      </c>
      <c r="F78" s="56">
        <v>0.17</v>
      </c>
      <c r="G78" s="56">
        <f>+F78</f>
        <v>0.17</v>
      </c>
      <c r="H78" s="61">
        <v>0.34</v>
      </c>
      <c r="I78" s="58">
        <f>F78*H78</f>
        <v>5.7800000000000011E-2</v>
      </c>
      <c r="J78" s="58">
        <f>G78*H78</f>
        <v>5.7800000000000011E-2</v>
      </c>
      <c r="K78" s="26"/>
      <c r="L78" s="26"/>
      <c r="M78" s="6">
        <f>+IF(H78&lt;15%,1,IF(H78&lt;30%,2,IF(H78&lt;50%,3,4)))</f>
        <v>3</v>
      </c>
      <c r="N78" s="52"/>
      <c r="O78" s="139"/>
      <c r="P78" s="52"/>
      <c r="Q78" s="52"/>
      <c r="R78" s="52"/>
      <c r="S78" s="52"/>
      <c r="T78" s="52"/>
      <c r="U78" s="52"/>
      <c r="V78" s="52"/>
      <c r="W78" s="52"/>
      <c r="X78" s="52"/>
      <c r="Y78" s="52"/>
      <c r="Z78" s="52"/>
      <c r="AA78" s="52"/>
      <c r="AB78" s="52"/>
    </row>
    <row r="79" spans="1:28" ht="15" customHeight="1" outlineLevel="1" x14ac:dyDescent="0.25">
      <c r="A79" s="55" t="s">
        <v>99</v>
      </c>
      <c r="B79" s="56">
        <v>2.509223843599719</v>
      </c>
      <c r="C79" s="56">
        <v>0.14266192000000003</v>
      </c>
      <c r="D79" s="56">
        <v>0.90794707099999994</v>
      </c>
      <c r="E79" s="56">
        <v>2.2919525845460003</v>
      </c>
      <c r="F79" s="56">
        <v>1.8195456582223026</v>
      </c>
      <c r="G79" s="56">
        <v>1.6768833582223026</v>
      </c>
      <c r="H79" s="65">
        <v>0.623</v>
      </c>
      <c r="I79" s="58">
        <f>F79*H79</f>
        <v>1.1335769450724946</v>
      </c>
      <c r="J79" s="58">
        <f>G79*H79</f>
        <v>1.0446983321724945</v>
      </c>
      <c r="K79" s="78"/>
      <c r="L79" s="78"/>
      <c r="M79" s="6">
        <f>+IF(H79&lt;15%,1,IF(H79&lt;30%,2,IF(H79&lt;50%,3,4)))</f>
        <v>4</v>
      </c>
      <c r="N79" s="52"/>
      <c r="O79" s="139"/>
      <c r="P79" s="52"/>
      <c r="Q79" s="52"/>
      <c r="R79" s="52"/>
      <c r="S79" s="52"/>
      <c r="T79" s="52"/>
      <c r="U79" s="52"/>
      <c r="V79" s="52"/>
      <c r="W79" s="52"/>
      <c r="X79" s="52"/>
      <c r="Y79" s="52"/>
      <c r="Z79" s="52"/>
      <c r="AA79" s="52"/>
      <c r="AB79" s="52"/>
    </row>
    <row r="80" spans="1:28" ht="15" customHeight="1" outlineLevel="1" x14ac:dyDescent="0.25">
      <c r="A80" s="55" t="s">
        <v>100</v>
      </c>
      <c r="B80" s="79"/>
      <c r="C80" s="79"/>
      <c r="D80" s="79"/>
      <c r="E80" s="79"/>
      <c r="F80" s="79">
        <v>3</v>
      </c>
      <c r="G80" s="79">
        <v>3</v>
      </c>
      <c r="H80" s="57">
        <f>0.095</f>
        <v>9.5000000000000001E-2</v>
      </c>
      <c r="I80" s="58">
        <f>F80*H80</f>
        <v>0.28500000000000003</v>
      </c>
      <c r="J80" s="58">
        <f>G80*H80</f>
        <v>0.28500000000000003</v>
      </c>
      <c r="K80" s="26"/>
      <c r="L80" s="26"/>
      <c r="M80" s="6">
        <f>+IF(H80&lt;15%,1,IF(H80&lt;30%,2,IF(H80&lt;50%,3,4)))</f>
        <v>1</v>
      </c>
    </row>
    <row r="81" spans="1:28" ht="12.75" customHeight="1" x14ac:dyDescent="0.25">
      <c r="A81" s="80"/>
      <c r="B81" s="24"/>
      <c r="C81" s="24"/>
      <c r="D81" s="24"/>
      <c r="E81" s="24"/>
      <c r="F81" s="25"/>
      <c r="G81" s="25"/>
      <c r="H81" s="81"/>
      <c r="I81" s="24"/>
      <c r="J81" s="25"/>
      <c r="K81" s="26"/>
      <c r="L81" s="26"/>
      <c r="M81" s="6"/>
    </row>
    <row r="82" spans="1:28" ht="35.25" customHeight="1" x14ac:dyDescent="0.25">
      <c r="A82" s="27" t="s">
        <v>67</v>
      </c>
      <c r="B82" s="28"/>
      <c r="C82" s="28"/>
      <c r="D82" s="28"/>
      <c r="E82" s="28"/>
      <c r="F82" s="82">
        <f>SUM(F84:F87)</f>
        <v>962.33906385057139</v>
      </c>
      <c r="G82" s="82">
        <f>SUM(G84:G87)</f>
        <v>962.33906385057139</v>
      </c>
      <c r="H82" s="30"/>
      <c r="I82" s="82">
        <f>SUM(I84:I87)</f>
        <v>30.493681950705515</v>
      </c>
      <c r="J82" s="82">
        <f>SUM(J84:J87)</f>
        <v>30.493681950705515</v>
      </c>
      <c r="K82" s="31">
        <f>IF(I82=0,0,J82/I82)</f>
        <v>1</v>
      </c>
      <c r="L82" s="31">
        <f>+I82/$I$89</f>
        <v>0.41748183201882672</v>
      </c>
      <c r="M82" s="6"/>
    </row>
    <row r="83" spans="1:28" ht="15" customHeight="1" outlineLevel="1" x14ac:dyDescent="0.25">
      <c r="A83" s="83"/>
      <c r="B83" s="84"/>
      <c r="C83" s="84"/>
      <c r="D83" s="84"/>
      <c r="E83" s="84"/>
      <c r="F83" s="85"/>
      <c r="G83" s="85"/>
      <c r="H83" s="86"/>
      <c r="I83" s="87"/>
      <c r="J83" s="88"/>
      <c r="K83" s="89"/>
      <c r="L83" s="90"/>
      <c r="M83" s="6"/>
    </row>
    <row r="84" spans="1:28" ht="15" customHeight="1" outlineLevel="1" x14ac:dyDescent="0.25">
      <c r="A84" s="55" t="s">
        <v>68</v>
      </c>
      <c r="B84" s="79">
        <v>632.81066283597443</v>
      </c>
      <c r="C84" s="79"/>
      <c r="D84" s="79"/>
      <c r="E84" s="79">
        <f>+B84+C84-D84</f>
        <v>632.81066283597443</v>
      </c>
      <c r="F84" s="79">
        <f t="shared" ref="F84:G86" si="15">+E84</f>
        <v>632.81066283597443</v>
      </c>
      <c r="G84" s="79">
        <f t="shared" si="15"/>
        <v>632.81066283597443</v>
      </c>
      <c r="H84" s="57">
        <v>2.6066712037040814E-2</v>
      </c>
      <c r="I84" s="79">
        <f>+F84*H84</f>
        <v>16.495293322114271</v>
      </c>
      <c r="J84" s="79">
        <f>+H84*G84</f>
        <v>16.495293322114271</v>
      </c>
      <c r="K84" s="93"/>
      <c r="L84" s="93"/>
      <c r="M84" s="6">
        <f>+IF(H84&lt;15%,1,IF(H84&lt;30%,2,IF(H84&lt;50%,3,4)))</f>
        <v>1</v>
      </c>
    </row>
    <row r="85" spans="1:28" s="96" customFormat="1" ht="15" customHeight="1" outlineLevel="1" x14ac:dyDescent="0.2">
      <c r="A85" s="55" t="s">
        <v>69</v>
      </c>
      <c r="B85" s="79">
        <v>232.62218999999999</v>
      </c>
      <c r="C85" s="79"/>
      <c r="D85" s="79"/>
      <c r="E85" s="79">
        <f>+B85+C85-D85</f>
        <v>232.62218999999999</v>
      </c>
      <c r="F85" s="79">
        <f t="shared" si="15"/>
        <v>232.62218999999999</v>
      </c>
      <c r="G85" s="79">
        <f t="shared" si="15"/>
        <v>232.62218999999999</v>
      </c>
      <c r="H85" s="57">
        <v>2.9487499999999996E-2</v>
      </c>
      <c r="I85" s="79">
        <f>+F85*H85</f>
        <v>6.8594468276249989</v>
      </c>
      <c r="J85" s="79">
        <f>+H85*G85</f>
        <v>6.8594468276249989</v>
      </c>
      <c r="K85" s="94"/>
      <c r="L85" s="94"/>
      <c r="M85" s="6">
        <f>+IF(H85&lt;15%,1,IF(H85&lt;30%,2,IF(H85&lt;50%,3,4)))</f>
        <v>1</v>
      </c>
      <c r="N85" s="95"/>
      <c r="O85" s="142"/>
      <c r="P85" s="95"/>
      <c r="Q85" s="95"/>
      <c r="R85" s="95"/>
      <c r="S85" s="95"/>
      <c r="T85" s="95"/>
      <c r="U85" s="95"/>
      <c r="V85" s="95"/>
      <c r="W85" s="95"/>
      <c r="X85" s="95"/>
      <c r="Y85" s="95"/>
      <c r="Z85" s="95"/>
      <c r="AA85" s="95"/>
      <c r="AB85" s="95"/>
    </row>
    <row r="86" spans="1:28" ht="15" customHeight="1" outlineLevel="1" x14ac:dyDescent="0.25">
      <c r="A86" s="55" t="s">
        <v>70</v>
      </c>
      <c r="B86" s="79">
        <v>95.353565592596965</v>
      </c>
      <c r="C86" s="79"/>
      <c r="D86" s="79"/>
      <c r="E86" s="79">
        <f>+B86+C86-D86</f>
        <v>95.353565592596965</v>
      </c>
      <c r="F86" s="79">
        <f t="shared" si="15"/>
        <v>95.353565592596965</v>
      </c>
      <c r="G86" s="79">
        <f t="shared" si="15"/>
        <v>95.353565592596965</v>
      </c>
      <c r="H86" s="57">
        <v>7.2099999999999997E-2</v>
      </c>
      <c r="I86" s="79">
        <f>+F86*H86</f>
        <v>6.8749920792262413</v>
      </c>
      <c r="J86" s="79">
        <f>+H86*G86</f>
        <v>6.8749920792262413</v>
      </c>
      <c r="K86" s="94"/>
      <c r="L86" s="94"/>
      <c r="M86" s="6">
        <f>+IF(H86&lt;15%,1,IF(H86&lt;30%,2,IF(H86&lt;50%,3,4)))</f>
        <v>1</v>
      </c>
    </row>
    <row r="87" spans="1:28" s="136" customFormat="1" ht="14.25" customHeight="1" outlineLevel="1" x14ac:dyDescent="0.2">
      <c r="A87" s="55" t="s">
        <v>101</v>
      </c>
      <c r="B87" s="56">
        <v>3.2330000000000001</v>
      </c>
      <c r="C87" s="56">
        <v>1.8260873000000004E-2</v>
      </c>
      <c r="D87" s="56">
        <v>1.698615451</v>
      </c>
      <c r="E87" s="56">
        <f>B87+C87-D87</f>
        <v>1.5526454220000001</v>
      </c>
      <c r="F87" s="56">
        <f>E87</f>
        <v>1.5526454220000001</v>
      </c>
      <c r="G87" s="56">
        <f>IF(B87&gt;E87,F87,F87*B87/E87)</f>
        <v>1.5526454220000001</v>
      </c>
      <c r="H87" s="71">
        <v>0.17</v>
      </c>
      <c r="I87" s="56">
        <f>F87*H87</f>
        <v>0.26394972174000003</v>
      </c>
      <c r="J87" s="56">
        <f>G87*H87</f>
        <v>0.26394972174000003</v>
      </c>
      <c r="K87" s="94"/>
      <c r="L87" s="94"/>
      <c r="M87" s="6">
        <f>+IF(H87&lt;15%,1,IF(H87&lt;30%,2,IF(H87&lt;50%,3,4)))</f>
        <v>2</v>
      </c>
      <c r="O87" s="138"/>
    </row>
    <row r="88" spans="1:28" ht="12.75" customHeight="1" x14ac:dyDescent="0.25">
      <c r="A88" s="80"/>
      <c r="B88" s="21"/>
      <c r="C88" s="21"/>
      <c r="D88" s="21"/>
      <c r="E88" s="21"/>
      <c r="F88" s="22"/>
      <c r="G88" s="22"/>
      <c r="H88" s="23"/>
      <c r="I88" s="24"/>
      <c r="J88" s="25"/>
      <c r="K88" s="26"/>
      <c r="L88" s="26"/>
      <c r="M88" s="6"/>
    </row>
    <row r="89" spans="1:28" ht="36.75" customHeight="1" x14ac:dyDescent="0.25">
      <c r="A89" s="27" t="s">
        <v>72</v>
      </c>
      <c r="B89" s="28"/>
      <c r="C89" s="28"/>
      <c r="D89" s="28"/>
      <c r="E89" s="28"/>
      <c r="F89" s="82"/>
      <c r="G89" s="82"/>
      <c r="H89" s="30"/>
      <c r="I89" s="82">
        <f>+I74+I82+I34+I6</f>
        <v>73.041937665278752</v>
      </c>
      <c r="J89" s="82">
        <f>+J74+J82+J34+J6</f>
        <v>56.770414091051471</v>
      </c>
      <c r="K89" s="31">
        <f>IF(I89=0,0,J89/I89)</f>
        <v>0.77723039538199268</v>
      </c>
      <c r="L89" s="31"/>
      <c r="M89" s="6"/>
    </row>
    <row r="90" spans="1:28" x14ac:dyDescent="0.25">
      <c r="A90" s="97" t="s">
        <v>73</v>
      </c>
      <c r="B90" s="98"/>
      <c r="C90" s="98"/>
      <c r="D90" s="98"/>
      <c r="E90" s="98"/>
      <c r="F90" s="98"/>
      <c r="G90" s="98"/>
      <c r="H90" s="99"/>
      <c r="I90" s="5"/>
      <c r="J90" s="5"/>
      <c r="K90" s="5"/>
      <c r="L90" s="5"/>
      <c r="M90" s="6"/>
    </row>
    <row r="91" spans="1:28" x14ac:dyDescent="0.25">
      <c r="A91" s="100" t="s">
        <v>74</v>
      </c>
      <c r="B91" s="101"/>
      <c r="C91" s="102"/>
      <c r="D91" s="102"/>
      <c r="E91" s="103"/>
      <c r="F91" s="103"/>
      <c r="G91" s="103"/>
      <c r="H91" s="104">
        <v>1</v>
      </c>
      <c r="I91" s="105">
        <f t="shared" ref="I91:J94" si="16">+SUMIF($M$7:$M$89,$H91,I$7:I$89)</f>
        <v>47.475686830607756</v>
      </c>
      <c r="J91" s="105">
        <f t="shared" si="16"/>
        <v>45.758510778738497</v>
      </c>
      <c r="K91" s="106">
        <f>+J91/I91</f>
        <v>0.96383041159581095</v>
      </c>
      <c r="L91" s="5"/>
      <c r="M91" s="6"/>
    </row>
    <row r="92" spans="1:28" x14ac:dyDescent="0.25">
      <c r="A92" s="107" t="s">
        <v>75</v>
      </c>
      <c r="B92" s="108"/>
      <c r="C92" s="109"/>
      <c r="D92" s="109"/>
      <c r="E92" s="110"/>
      <c r="F92" s="110"/>
      <c r="G92" s="110"/>
      <c r="H92" s="111">
        <v>2</v>
      </c>
      <c r="I92" s="112">
        <f t="shared" si="16"/>
        <v>4.3976785517835468</v>
      </c>
      <c r="J92" s="112">
        <f t="shared" si="16"/>
        <v>3.8740781090144312</v>
      </c>
      <c r="K92" s="113">
        <f>+J92/I92</f>
        <v>0.88093708155254746</v>
      </c>
      <c r="L92" s="5"/>
      <c r="M92" s="6"/>
    </row>
    <row r="93" spans="1:28" x14ac:dyDescent="0.25">
      <c r="A93" s="114" t="s">
        <v>76</v>
      </c>
      <c r="B93" s="110"/>
      <c r="C93" s="110"/>
      <c r="D93" s="110"/>
      <c r="E93" s="110"/>
      <c r="F93" s="110"/>
      <c r="G93" s="110"/>
      <c r="H93" s="115">
        <v>3</v>
      </c>
      <c r="I93" s="112">
        <f t="shared" si="16"/>
        <v>19.040754952942891</v>
      </c>
      <c r="J93" s="112">
        <f t="shared" si="16"/>
        <v>5.2916035091039868</v>
      </c>
      <c r="K93" s="113">
        <f>+J93/I93</f>
        <v>0.27790933301655302</v>
      </c>
      <c r="L93" s="5"/>
      <c r="M93" s="6"/>
    </row>
    <row r="94" spans="1:28" x14ac:dyDescent="0.25">
      <c r="A94" s="116" t="s">
        <v>77</v>
      </c>
      <c r="B94" s="117"/>
      <c r="C94" s="117"/>
      <c r="D94" s="117"/>
      <c r="E94" s="117"/>
      <c r="F94" s="117"/>
      <c r="G94" s="117"/>
      <c r="H94" s="118">
        <v>4</v>
      </c>
      <c r="I94" s="119">
        <f t="shared" si="16"/>
        <v>2.1278173299445573</v>
      </c>
      <c r="J94" s="119">
        <f t="shared" si="16"/>
        <v>1.8462216941945571</v>
      </c>
      <c r="K94" s="120">
        <f>+J94/I94</f>
        <v>0.86765986356670122</v>
      </c>
      <c r="L94" s="5"/>
      <c r="M94" s="6"/>
    </row>
    <row r="95" spans="1:28" ht="25.5" customHeight="1" x14ac:dyDescent="0.25">
      <c r="A95" s="303" t="s">
        <v>78</v>
      </c>
      <c r="B95" s="304"/>
      <c r="C95" s="304"/>
      <c r="D95" s="304"/>
      <c r="E95" s="304"/>
      <c r="F95" s="304"/>
      <c r="G95" s="304"/>
      <c r="H95" s="304"/>
      <c r="I95" s="304"/>
      <c r="J95" s="304"/>
      <c r="K95" s="304"/>
      <c r="L95" s="304"/>
      <c r="M95" s="6"/>
      <c r="O95"/>
    </row>
    <row r="96" spans="1:28" x14ac:dyDescent="0.25">
      <c r="A96" s="5"/>
      <c r="B96" s="98"/>
      <c r="C96" s="98"/>
      <c r="D96" s="98"/>
      <c r="E96" s="98"/>
      <c r="F96" s="98"/>
      <c r="G96" s="98"/>
      <c r="H96" s="99"/>
      <c r="I96" s="5"/>
      <c r="J96" s="5"/>
      <c r="K96" s="5"/>
      <c r="L96" s="5"/>
      <c r="M96" s="6"/>
    </row>
  </sheetData>
  <mergeCells count="4">
    <mergeCell ref="B3:G3"/>
    <mergeCell ref="H3:H4"/>
    <mergeCell ref="I3:J3"/>
    <mergeCell ref="A95:L95"/>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B96"/>
  <sheetViews>
    <sheetView zoomScale="80" zoomScaleNormal="80" workbookViewId="0"/>
  </sheetViews>
  <sheetFormatPr defaultRowHeight="15" outlineLevelRow="2" outlineLevelCol="1" x14ac:dyDescent="0.25"/>
  <cols>
    <col min="1" max="1" width="46.42578125" customWidth="1"/>
    <col min="2" max="2" width="13.42578125" style="121" customWidth="1" outlineLevel="1"/>
    <col min="3" max="3" width="10.28515625" style="121" customWidth="1" outlineLevel="1"/>
    <col min="4" max="4" width="10.85546875" style="121" customWidth="1" outlineLevel="1"/>
    <col min="5" max="5" width="11" style="121" customWidth="1" outlineLevel="1"/>
    <col min="6" max="6" width="15.42578125" style="121" customWidth="1"/>
    <col min="7" max="7" width="14.85546875" style="121" customWidth="1"/>
    <col min="8" max="8" width="11.140625" style="122" customWidth="1"/>
    <col min="9" max="11" width="12.28515625" customWidth="1"/>
    <col min="12" max="12" width="11.42578125" customWidth="1"/>
    <col min="13" max="13" width="11.42578125" style="123" customWidth="1"/>
    <col min="14" max="14" width="11.85546875" customWidth="1"/>
    <col min="17" max="17" width="12.42578125" customWidth="1"/>
  </cols>
  <sheetData>
    <row r="1" spans="1:17" s="126" customFormat="1" x14ac:dyDescent="0.25">
      <c r="A1" s="1" t="str">
        <f>"Updated on " &amp; TEXT(Updates!B2,"[$-0809]dd mmm yyyy")</f>
        <v>Updated on 11 Nov 2022</v>
      </c>
      <c r="B1" s="130"/>
      <c r="C1" s="130"/>
      <c r="D1" s="130"/>
      <c r="E1" s="130"/>
      <c r="F1" s="130"/>
      <c r="G1" s="130"/>
      <c r="H1" s="131"/>
      <c r="I1" s="132"/>
      <c r="J1" s="132"/>
      <c r="K1" s="132"/>
      <c r="L1" s="35"/>
      <c r="M1" s="133"/>
    </row>
    <row r="2" spans="1:17" ht="45" x14ac:dyDescent="0.25">
      <c r="A2" s="8" t="s">
        <v>80</v>
      </c>
      <c r="B2" s="9"/>
      <c r="C2" s="9"/>
      <c r="D2" s="9"/>
      <c r="E2" s="9"/>
      <c r="F2" s="9"/>
      <c r="G2" s="9"/>
      <c r="H2" s="9"/>
      <c r="I2" s="9"/>
      <c r="J2" s="9"/>
      <c r="K2" s="9"/>
      <c r="L2" s="5"/>
      <c r="M2" s="6"/>
    </row>
    <row r="3" spans="1:17" ht="44.25" customHeight="1" x14ac:dyDescent="0.25">
      <c r="A3" s="10" t="s">
        <v>104</v>
      </c>
      <c r="B3" s="305" t="s">
        <v>2</v>
      </c>
      <c r="C3" s="306"/>
      <c r="D3" s="306"/>
      <c r="E3" s="306"/>
      <c r="F3" s="306"/>
      <c r="G3" s="307"/>
      <c r="H3" s="308" t="s">
        <v>3</v>
      </c>
      <c r="I3" s="301" t="s">
        <v>4</v>
      </c>
      <c r="J3" s="302"/>
      <c r="K3" s="11"/>
      <c r="L3" s="12"/>
      <c r="M3" s="6"/>
    </row>
    <row r="4" spans="1:17" ht="50.25" customHeight="1" x14ac:dyDescent="0.25">
      <c r="A4" s="14" t="s">
        <v>6</v>
      </c>
      <c r="B4" s="15" t="s">
        <v>7</v>
      </c>
      <c r="C4" s="15" t="s">
        <v>8</v>
      </c>
      <c r="D4" s="16" t="s">
        <v>9</v>
      </c>
      <c r="E4" s="16" t="s">
        <v>10</v>
      </c>
      <c r="F4" s="16" t="s">
        <v>11</v>
      </c>
      <c r="G4" s="16" t="s">
        <v>12</v>
      </c>
      <c r="H4" s="309"/>
      <c r="I4" s="17" t="s">
        <v>13</v>
      </c>
      <c r="J4" s="17" t="s">
        <v>14</v>
      </c>
      <c r="K4" s="16" t="s">
        <v>15</v>
      </c>
      <c r="L4" s="15" t="s">
        <v>16</v>
      </c>
      <c r="M4" s="6"/>
    </row>
    <row r="5" spans="1:17" ht="10.5" customHeight="1" x14ac:dyDescent="0.25">
      <c r="A5" s="20"/>
      <c r="B5" s="21"/>
      <c r="C5" s="21"/>
      <c r="D5" s="21"/>
      <c r="E5" s="21"/>
      <c r="F5" s="22"/>
      <c r="G5" s="22"/>
      <c r="H5" s="23"/>
      <c r="I5" s="24"/>
      <c r="J5" s="25"/>
      <c r="K5" s="26"/>
      <c r="L5" s="26"/>
      <c r="M5" s="6"/>
    </row>
    <row r="6" spans="1:17" ht="36" customHeight="1" x14ac:dyDescent="0.25">
      <c r="A6" s="27" t="s">
        <v>18</v>
      </c>
      <c r="B6" s="28"/>
      <c r="C6" s="28"/>
      <c r="D6" s="28"/>
      <c r="E6" s="28"/>
      <c r="F6" s="29">
        <f>F9+F21+F27</f>
        <v>165.57616040344288</v>
      </c>
      <c r="G6" s="29">
        <f>G9+G21+G27</f>
        <v>147.33915457928219</v>
      </c>
      <c r="H6" s="30"/>
      <c r="I6" s="30">
        <f>I9+I21+I27</f>
        <v>16.879089077323503</v>
      </c>
      <c r="J6" s="30">
        <f>J9+J21+J27</f>
        <v>15.18323974344643</v>
      </c>
      <c r="K6" s="31">
        <f>J6/I6</f>
        <v>0.8995295702209789</v>
      </c>
      <c r="L6" s="31">
        <f>+I6/$I$89</f>
        <v>0.23153881007614813</v>
      </c>
      <c r="M6" s="6"/>
    </row>
    <row r="7" spans="1:17" ht="8.25" customHeight="1" x14ac:dyDescent="0.25">
      <c r="A7" s="20"/>
      <c r="B7" s="21"/>
      <c r="C7" s="21"/>
      <c r="D7" s="21"/>
      <c r="E7" s="21"/>
      <c r="F7" s="22"/>
      <c r="G7" s="22"/>
      <c r="H7" s="23"/>
      <c r="I7" s="24"/>
      <c r="J7" s="25"/>
      <c r="K7" s="26"/>
      <c r="L7" s="26"/>
      <c r="M7" s="6"/>
    </row>
    <row r="8" spans="1:17" ht="8.25" hidden="1" customHeight="1" x14ac:dyDescent="0.25">
      <c r="A8" s="38"/>
      <c r="B8" s="39"/>
      <c r="C8" s="39"/>
      <c r="D8" s="39"/>
      <c r="E8" s="39"/>
      <c r="F8" s="40"/>
      <c r="G8" s="40"/>
      <c r="H8" s="41"/>
      <c r="I8" s="42"/>
      <c r="J8" s="43"/>
      <c r="K8" s="44"/>
      <c r="L8" s="45"/>
      <c r="M8" s="6"/>
    </row>
    <row r="9" spans="1:17" ht="22.5" customHeight="1" outlineLevel="1" x14ac:dyDescent="0.25">
      <c r="A9" s="48" t="s">
        <v>83</v>
      </c>
      <c r="B9" s="49">
        <f>SUM(B11:B19)</f>
        <v>287.14948050857845</v>
      </c>
      <c r="C9" s="49">
        <f t="shared" ref="C9:J9" si="0">SUM(C11:C19)</f>
        <v>23.445018278000003</v>
      </c>
      <c r="D9" s="49">
        <f t="shared" si="0"/>
        <v>51.363977105999993</v>
      </c>
      <c r="E9" s="49">
        <f t="shared" si="0"/>
        <v>259.23052168057848</v>
      </c>
      <c r="F9" s="49">
        <f t="shared" si="0"/>
        <v>161.3533679181887</v>
      </c>
      <c r="G9" s="49">
        <f t="shared" si="0"/>
        <v>143.37609473302388</v>
      </c>
      <c r="H9" s="50"/>
      <c r="I9" s="50">
        <f t="shared" si="0"/>
        <v>15.740507594000759</v>
      </c>
      <c r="J9" s="50">
        <f t="shared" si="0"/>
        <v>14.118397910620494</v>
      </c>
      <c r="K9" s="51">
        <f>J9/I9</f>
        <v>0.89694679960648127</v>
      </c>
      <c r="L9" s="51">
        <f>+I9/$I$89</f>
        <v>0.21592032494252464</v>
      </c>
      <c r="M9" s="6"/>
      <c r="N9" s="52"/>
      <c r="O9" s="52"/>
      <c r="P9" s="52"/>
      <c r="Q9" s="52"/>
    </row>
    <row r="10" spans="1:17" ht="15" customHeight="1" outlineLevel="1" x14ac:dyDescent="0.25">
      <c r="A10" s="20"/>
      <c r="B10" s="21"/>
      <c r="C10" s="21"/>
      <c r="D10" s="21"/>
      <c r="E10" s="21"/>
      <c r="F10" s="22"/>
      <c r="G10" s="22"/>
      <c r="H10" s="23"/>
      <c r="I10" s="24"/>
      <c r="J10" s="25"/>
      <c r="K10" s="26"/>
      <c r="L10" s="26"/>
      <c r="M10" s="6"/>
      <c r="N10" s="52"/>
      <c r="O10" s="52"/>
      <c r="P10" s="52"/>
      <c r="Q10" s="52"/>
    </row>
    <row r="11" spans="1:17" ht="15" customHeight="1" outlineLevel="1" x14ac:dyDescent="0.25">
      <c r="A11" s="55" t="str">
        <f>+'data from cereal masterfile'!A3</f>
        <v>Common  wheat</v>
      </c>
      <c r="B11" s="56">
        <f>+'data from cereal masterfile'!F3</f>
        <v>135.04485937799998</v>
      </c>
      <c r="C11" s="56">
        <f>+'data from cereal masterfile'!F15</f>
        <v>5.7491591840000007</v>
      </c>
      <c r="D11" s="56">
        <f>+'data from cereal masterfile'!F27</f>
        <v>33.112226907999997</v>
      </c>
      <c r="E11" s="56">
        <f>+B11+C11-D11</f>
        <v>107.68179165399999</v>
      </c>
      <c r="F11" s="56">
        <f>+'data from cereal masterfile'!F39</f>
        <v>48.358999999999995</v>
      </c>
      <c r="G11" s="56">
        <f>IF(B11&gt;E11,F11,F11*B11/E11)-C11</f>
        <v>42.609840815999995</v>
      </c>
      <c r="H11" s="57">
        <v>0.11</v>
      </c>
      <c r="I11" s="58">
        <f>F11*H11</f>
        <v>5.3194899999999992</v>
      </c>
      <c r="J11" s="58">
        <f>G11*H11</f>
        <v>4.6870824897599999</v>
      </c>
      <c r="K11" s="26"/>
      <c r="L11" s="26"/>
      <c r="M11" s="6">
        <f>+IF(H11&lt;15%,1,IF(H11&lt;30%,2,IF(H11&lt;50%,3,4)))</f>
        <v>1</v>
      </c>
      <c r="N11" s="73"/>
      <c r="O11" s="72"/>
      <c r="P11" s="52"/>
      <c r="Q11" s="52"/>
    </row>
    <row r="12" spans="1:17" ht="15" customHeight="1" outlineLevel="1" x14ac:dyDescent="0.25">
      <c r="A12" s="55" t="str">
        <f>+'data from cereal masterfile'!A4</f>
        <v>Barley</v>
      </c>
      <c r="B12" s="56">
        <f>+'data from cereal masterfile'!F4</f>
        <v>54.142513304999994</v>
      </c>
      <c r="C12" s="56">
        <f>+'data from cereal masterfile'!F16</f>
        <v>1.3834457150000001</v>
      </c>
      <c r="D12" s="56">
        <f>+'data from cereal masterfile'!F28</f>
        <v>13.481520514</v>
      </c>
      <c r="E12" s="56">
        <f t="shared" ref="E12:E19" si="1">+B12+C12-D12</f>
        <v>42.044438505999992</v>
      </c>
      <c r="F12" s="56">
        <f>+'data from cereal masterfile'!F40</f>
        <v>33.007287699999999</v>
      </c>
      <c r="G12" s="56">
        <f>IF(B12&gt;E12,F12,F12*B12/E12)</f>
        <v>33.007287699999999</v>
      </c>
      <c r="H12" s="57">
        <v>0.1</v>
      </c>
      <c r="I12" s="58">
        <f t="shared" ref="I12:I19" si="2">F12*H12</f>
        <v>3.3007287700000001</v>
      </c>
      <c r="J12" s="58">
        <f t="shared" ref="J12:J19" si="3">G12*H12</f>
        <v>3.3007287700000001</v>
      </c>
      <c r="K12" s="26"/>
      <c r="L12" s="26"/>
      <c r="M12" s="6">
        <f t="shared" ref="M12:M19" si="4">+IF(H12&lt;15%,1,IF(H12&lt;30%,2,IF(H12&lt;50%,3,4)))</f>
        <v>1</v>
      </c>
      <c r="N12" s="73"/>
      <c r="O12" s="72"/>
      <c r="P12" s="52"/>
      <c r="Q12" s="52"/>
    </row>
    <row r="13" spans="1:17" ht="15" customHeight="1" outlineLevel="1" x14ac:dyDescent="0.25">
      <c r="A13" s="55" t="str">
        <f>+'data from cereal masterfile'!A5</f>
        <v>Durum</v>
      </c>
      <c r="B13" s="56">
        <f>+'data from cereal masterfile'!F5</f>
        <v>8.3003910649999995</v>
      </c>
      <c r="C13" s="56">
        <f>+'data from cereal masterfile'!F17</f>
        <v>2.7029510290000003</v>
      </c>
      <c r="D13" s="56">
        <f>+'data from cereal masterfile'!F29</f>
        <v>1.238122476</v>
      </c>
      <c r="E13" s="56">
        <f t="shared" si="1"/>
        <v>9.7652196179999997</v>
      </c>
      <c r="F13" s="56">
        <f>+'data from cereal masterfile'!F41</f>
        <v>0.6</v>
      </c>
      <c r="G13" s="56">
        <f>IF(B13&gt;E13,F13,F13*B13/E13)</f>
        <v>0.5099971975868367</v>
      </c>
      <c r="H13" s="57">
        <v>0.12</v>
      </c>
      <c r="I13" s="58">
        <f t="shared" si="2"/>
        <v>7.1999999999999995E-2</v>
      </c>
      <c r="J13" s="58">
        <f t="shared" si="3"/>
        <v>6.1199663710420404E-2</v>
      </c>
      <c r="K13" s="26"/>
      <c r="L13" s="26"/>
      <c r="M13" s="6">
        <f t="shared" si="4"/>
        <v>1</v>
      </c>
      <c r="N13" s="73"/>
      <c r="O13" s="72"/>
      <c r="P13" s="52"/>
      <c r="Q13" s="52"/>
    </row>
    <row r="14" spans="1:17" ht="15" customHeight="1" outlineLevel="1" x14ac:dyDescent="0.25">
      <c r="A14" s="55" t="str">
        <f>+'data from cereal masterfile'!A6</f>
        <v>Maize</v>
      </c>
      <c r="B14" s="56">
        <f>+'data from cereal masterfile'!F6</f>
        <v>58.989768006000013</v>
      </c>
      <c r="C14" s="56">
        <f>+'data from cereal masterfile'!F18</f>
        <v>13.195940556</v>
      </c>
      <c r="D14" s="56">
        <f>+'data from cereal masterfile'!F30</f>
        <v>3.0588163320000001</v>
      </c>
      <c r="E14" s="56">
        <f t="shared" si="1"/>
        <v>69.12689223000001</v>
      </c>
      <c r="F14" s="56">
        <f>+'data from cereal masterfile'!F42</f>
        <v>56.143000000000001</v>
      </c>
      <c r="G14" s="56">
        <f>F14-C14*0.9</f>
        <v>44.266653499599997</v>
      </c>
      <c r="H14" s="57">
        <v>0.08</v>
      </c>
      <c r="I14" s="58">
        <f t="shared" si="2"/>
        <v>4.4914399999999999</v>
      </c>
      <c r="J14" s="58">
        <f t="shared" si="3"/>
        <v>3.5413322799679996</v>
      </c>
      <c r="K14" s="26"/>
      <c r="L14" s="26"/>
      <c r="M14" s="6">
        <f t="shared" si="4"/>
        <v>1</v>
      </c>
      <c r="N14" s="73"/>
      <c r="O14" s="72"/>
      <c r="P14" s="52"/>
      <c r="Q14" s="52"/>
    </row>
    <row r="15" spans="1:17" ht="15" customHeight="1" outlineLevel="1" x14ac:dyDescent="0.25">
      <c r="A15" s="55" t="str">
        <f>+'data from cereal masterfile'!A7</f>
        <v>Rye</v>
      </c>
      <c r="B15" s="56">
        <f>+'data from cereal masterfile'!F7</f>
        <v>7.5687112743092388</v>
      </c>
      <c r="C15" s="56">
        <f>+'data from cereal masterfile'!F19</f>
        <v>5.1398922999999999E-2</v>
      </c>
      <c r="D15" s="56">
        <f>+'data from cereal masterfile'!F31</f>
        <v>0.18242456899999998</v>
      </c>
      <c r="E15" s="56">
        <f t="shared" si="1"/>
        <v>7.4376856283092385</v>
      </c>
      <c r="F15" s="56">
        <f>+'data from cereal masterfile'!F43</f>
        <v>2.9958641008263491</v>
      </c>
      <c r="G15" s="56">
        <f>IF(B15&gt;E15,F15,F15*B15/(B15+C15-D15))</f>
        <v>2.9958641008263491</v>
      </c>
      <c r="H15" s="57">
        <v>0.11</v>
      </c>
      <c r="I15" s="58">
        <f t="shared" si="2"/>
        <v>0.32954505109089843</v>
      </c>
      <c r="J15" s="58">
        <f t="shared" si="3"/>
        <v>0.32954505109089843</v>
      </c>
      <c r="K15" s="26"/>
      <c r="L15" s="26"/>
      <c r="M15" s="6">
        <f t="shared" si="4"/>
        <v>1</v>
      </c>
      <c r="N15" s="73"/>
      <c r="O15" s="72"/>
      <c r="P15" s="52"/>
      <c r="Q15" s="52"/>
    </row>
    <row r="16" spans="1:17" ht="15" customHeight="1" outlineLevel="1" x14ac:dyDescent="0.25">
      <c r="A16" s="55" t="str">
        <f>+'data from cereal masterfile'!A8</f>
        <v>Sorghum</v>
      </c>
      <c r="B16" s="56">
        <f>+'data from cereal masterfile'!F8</f>
        <v>0.68414249999999988</v>
      </c>
      <c r="C16" s="56">
        <f>+'data from cereal masterfile'!F20</f>
        <v>0.1152343</v>
      </c>
      <c r="D16" s="56">
        <f>+'data from cereal masterfile'!F32</f>
        <v>1.3018013E-2</v>
      </c>
      <c r="E16" s="56">
        <f t="shared" si="1"/>
        <v>0.78635878699999984</v>
      </c>
      <c r="F16" s="56">
        <f>+'data from cereal masterfile'!F44</f>
        <v>0.65141330647093199</v>
      </c>
      <c r="G16" s="56">
        <f>IF(B16&gt;E16,F16,F16*B16/(B16+C16-D16))</f>
        <v>0.56673815488538515</v>
      </c>
      <c r="H16" s="57">
        <v>0.11</v>
      </c>
      <c r="I16" s="58">
        <f t="shared" si="2"/>
        <v>7.1655463711802522E-2</v>
      </c>
      <c r="J16" s="58">
        <f t="shared" si="3"/>
        <v>6.2341197037392368E-2</v>
      </c>
      <c r="K16" s="26"/>
      <c r="L16" s="26"/>
      <c r="M16" s="6">
        <f t="shared" si="4"/>
        <v>1</v>
      </c>
      <c r="N16" s="73"/>
      <c r="O16" s="72"/>
      <c r="P16" s="52"/>
      <c r="Q16" s="52"/>
    </row>
    <row r="17" spans="1:17" ht="15" customHeight="1" outlineLevel="1" x14ac:dyDescent="0.25">
      <c r="A17" s="55" t="str">
        <f>+'data from cereal masterfile'!A9</f>
        <v>Oats</v>
      </c>
      <c r="B17" s="56">
        <f>+'data from cereal masterfile'!F9</f>
        <v>6.7089408400000003</v>
      </c>
      <c r="C17" s="56">
        <f>+'data from cereal masterfile'!F21</f>
        <v>7.3623645000000001E-2</v>
      </c>
      <c r="D17" s="56">
        <f>+'data from cereal masterfile'!F33</f>
        <v>0.25832807400000002</v>
      </c>
      <c r="E17" s="56">
        <f t="shared" si="1"/>
        <v>6.5242364110000004</v>
      </c>
      <c r="F17" s="56">
        <f>+'data from cereal masterfile'!F45</f>
        <v>4.6921595850967197</v>
      </c>
      <c r="G17" s="56">
        <f>IF(B17&gt;E17,F17,F17*B17/(B17+C17-D17))</f>
        <v>4.6921595850967197</v>
      </c>
      <c r="H17" s="57">
        <v>0.11</v>
      </c>
      <c r="I17" s="58">
        <f t="shared" si="2"/>
        <v>0.51613755436063913</v>
      </c>
      <c r="J17" s="58">
        <f t="shared" si="3"/>
        <v>0.51613755436063913</v>
      </c>
      <c r="K17" s="26"/>
      <c r="L17" s="26"/>
      <c r="M17" s="6">
        <f t="shared" si="4"/>
        <v>1</v>
      </c>
      <c r="N17" s="73"/>
      <c r="O17" s="72"/>
      <c r="P17" s="52"/>
      <c r="Q17" s="52"/>
    </row>
    <row r="18" spans="1:17" ht="15" customHeight="1" outlineLevel="1" x14ac:dyDescent="0.25">
      <c r="A18" s="55" t="str">
        <f>+'data from cereal masterfile'!A10</f>
        <v>Triticale</v>
      </c>
      <c r="B18" s="56">
        <f>+'data from cereal masterfile'!F10</f>
        <v>12.422274199999999</v>
      </c>
      <c r="C18" s="56">
        <f>+'data from cereal masterfile'!F22</f>
        <v>1.0874599999999999E-4</v>
      </c>
      <c r="D18" s="56">
        <f>+'data from cereal masterfile'!F34</f>
        <v>2.5647220000000002E-3</v>
      </c>
      <c r="E18" s="56">
        <f t="shared" si="1"/>
        <v>12.419818223999998</v>
      </c>
      <c r="F18" s="56">
        <f>+'data from cereal masterfile'!F46</f>
        <v>10.999982448297382</v>
      </c>
      <c r="G18" s="56">
        <f>IF(B18&gt;E18,F18,F18*B18/(B18+C18-D18))</f>
        <v>10.999982448297382</v>
      </c>
      <c r="H18" s="57">
        <v>0.11</v>
      </c>
      <c r="I18" s="58">
        <f t="shared" si="2"/>
        <v>1.2099980693127121</v>
      </c>
      <c r="J18" s="58">
        <f t="shared" si="3"/>
        <v>1.2099980693127121</v>
      </c>
      <c r="K18" s="26"/>
      <c r="L18" s="26"/>
      <c r="M18" s="6">
        <f t="shared" si="4"/>
        <v>1</v>
      </c>
      <c r="N18" s="73"/>
      <c r="O18" s="72"/>
      <c r="P18" s="52"/>
      <c r="Q18" s="52"/>
    </row>
    <row r="19" spans="1:17" ht="15" customHeight="1" outlineLevel="1" x14ac:dyDescent="0.25">
      <c r="A19" s="55" t="str">
        <f>+'data from cereal masterfile'!A11</f>
        <v>Others</v>
      </c>
      <c r="B19" s="56">
        <f>+'data from cereal masterfile'!F11</f>
        <v>3.2878799402692169</v>
      </c>
      <c r="C19" s="56">
        <f>+'data from cereal masterfile'!F23</f>
        <v>0.17315617999999999</v>
      </c>
      <c r="D19" s="56">
        <f>+'data from cereal masterfile'!F35</f>
        <v>1.6955497999999999E-2</v>
      </c>
      <c r="E19" s="56">
        <f t="shared" si="1"/>
        <v>3.4440806222692166</v>
      </c>
      <c r="F19" s="56">
        <f>+'data from cereal masterfile'!F47</f>
        <v>3.9046607774973396</v>
      </c>
      <c r="G19" s="56">
        <f>IF(B19&gt;E19,F19,F19*B19/(B19+C19-D19))</f>
        <v>3.7275712307311899</v>
      </c>
      <c r="H19" s="57">
        <v>0.11</v>
      </c>
      <c r="I19" s="58">
        <f t="shared" si="2"/>
        <v>0.42951268552470734</v>
      </c>
      <c r="J19" s="58">
        <f t="shared" si="3"/>
        <v>0.41003283538043089</v>
      </c>
      <c r="K19" s="26"/>
      <c r="L19" s="26"/>
      <c r="M19" s="6">
        <f t="shared" si="4"/>
        <v>1</v>
      </c>
      <c r="N19" s="73"/>
      <c r="O19" s="72"/>
      <c r="P19" s="52"/>
      <c r="Q19" s="52"/>
    </row>
    <row r="20" spans="1:17" ht="12.75" customHeight="1" outlineLevel="1" x14ac:dyDescent="0.25">
      <c r="A20" s="20"/>
      <c r="B20" s="21"/>
      <c r="C20" s="21"/>
      <c r="D20" s="21"/>
      <c r="E20" s="21"/>
      <c r="F20" s="22"/>
      <c r="G20" s="22"/>
      <c r="H20" s="23"/>
      <c r="I20" s="24"/>
      <c r="J20" s="25"/>
      <c r="K20" s="26"/>
      <c r="L20" s="26"/>
      <c r="M20" s="6"/>
      <c r="N20" s="52"/>
      <c r="O20" s="52"/>
      <c r="P20" s="52"/>
      <c r="Q20" s="52"/>
    </row>
    <row r="21" spans="1:17" ht="22.5" customHeight="1" outlineLevel="1" x14ac:dyDescent="0.25">
      <c r="A21" s="48" t="s">
        <v>84</v>
      </c>
      <c r="B21" s="49">
        <f t="shared" ref="B21:G21" si="5">SUM(B23:B25)</f>
        <v>29.52346</v>
      </c>
      <c r="C21" s="49">
        <f t="shared" si="5"/>
        <v>18.247714078999998</v>
      </c>
      <c r="D21" s="49">
        <f t="shared" si="5"/>
        <v>1.004462851</v>
      </c>
      <c r="E21" s="49">
        <f t="shared" si="5"/>
        <v>46.766711228000005</v>
      </c>
      <c r="F21" s="49">
        <f t="shared" si="5"/>
        <v>1.4041084000000001</v>
      </c>
      <c r="G21" s="49">
        <f t="shared" si="5"/>
        <v>1.4041084000000001</v>
      </c>
      <c r="H21" s="50"/>
      <c r="I21" s="50">
        <f>SUM(I23:I25)</f>
        <v>0.40727586571000007</v>
      </c>
      <c r="J21" s="50">
        <f>SUM(J23:J25)</f>
        <v>0.40727586571000007</v>
      </c>
      <c r="K21" s="51">
        <f>J21/I21</f>
        <v>1</v>
      </c>
      <c r="L21" s="51">
        <f>+I21/$I$89</f>
        <v>5.5868044114960958E-3</v>
      </c>
      <c r="M21" s="6"/>
      <c r="N21" s="52"/>
      <c r="O21" s="52"/>
      <c r="P21" s="52"/>
      <c r="Q21" s="52"/>
    </row>
    <row r="22" spans="1:17" ht="15" customHeight="1" outlineLevel="1" x14ac:dyDescent="0.25">
      <c r="A22" s="20" t="s">
        <v>85</v>
      </c>
      <c r="B22" s="21"/>
      <c r="C22" s="21"/>
      <c r="D22" s="21"/>
      <c r="E22" s="21"/>
      <c r="F22" s="22"/>
      <c r="G22" s="22"/>
      <c r="H22" s="23"/>
      <c r="I22" s="24"/>
      <c r="J22" s="25"/>
      <c r="K22" s="26"/>
      <c r="L22" s="26"/>
      <c r="M22" s="6"/>
      <c r="N22" s="52"/>
      <c r="O22" s="52"/>
      <c r="P22" s="52"/>
      <c r="Q22" s="52"/>
    </row>
    <row r="23" spans="1:17" ht="15" customHeight="1" outlineLevel="1" x14ac:dyDescent="0.25">
      <c r="A23" s="55" t="s">
        <v>22</v>
      </c>
      <c r="B23" s="56">
        <f>+'data from oilseed masterfile'!T4</f>
        <v>2.3410100000000003</v>
      </c>
      <c r="C23" s="56">
        <f>+'data from oilseed masterfile'!T12</f>
        <v>14.129783229000001</v>
      </c>
      <c r="D23" s="56">
        <f>+'data from oilseed masterfile'!T16</f>
        <v>0.18280827100000005</v>
      </c>
      <c r="E23" s="56">
        <f>+B23+C23-D23</f>
        <v>16.287984958000003</v>
      </c>
      <c r="F23" s="56">
        <f>45%*B23</f>
        <v>1.0534545000000002</v>
      </c>
      <c r="G23" s="56">
        <f>F23</f>
        <v>1.0534545000000002</v>
      </c>
      <c r="H23" s="61">
        <v>0.33</v>
      </c>
      <c r="I23" s="58">
        <f>F23*H23</f>
        <v>0.3476399850000001</v>
      </c>
      <c r="J23" s="58">
        <f>G23*H23</f>
        <v>0.3476399850000001</v>
      </c>
      <c r="K23" s="26"/>
      <c r="L23" s="26"/>
      <c r="M23" s="6">
        <f>+IF(H23&lt;15%,1,IF(H23&lt;30%,2,IF(H23&lt;50%,3,4)))</f>
        <v>3</v>
      </c>
      <c r="N23" s="52"/>
      <c r="O23" s="52"/>
      <c r="P23" s="52"/>
      <c r="Q23" s="52"/>
    </row>
    <row r="24" spans="1:17" ht="15" customHeight="1" outlineLevel="1" x14ac:dyDescent="0.25">
      <c r="A24" s="55" t="s">
        <v>23</v>
      </c>
      <c r="B24" s="56">
        <f>+'data from oilseed masterfile'!T5</f>
        <v>19.299510000000001</v>
      </c>
      <c r="C24" s="56">
        <f>+'data from oilseed masterfile'!T13</f>
        <v>3.6535254729999997</v>
      </c>
      <c r="D24" s="56">
        <f>+'data from oilseed masterfile'!T17</f>
        <v>0.37108243899999999</v>
      </c>
      <c r="E24" s="56">
        <f>+B24+C24-D24</f>
        <v>22.581953034000001</v>
      </c>
      <c r="F24" s="56">
        <f>+B24*1%</f>
        <v>0.19299510000000003</v>
      </c>
      <c r="G24" s="56">
        <f>F24</f>
        <v>0.19299510000000003</v>
      </c>
      <c r="H24" s="62">
        <f>H47*0.57</f>
        <v>0.18809999999999999</v>
      </c>
      <c r="I24" s="58">
        <f>F24*H24</f>
        <v>3.6302378310000001E-2</v>
      </c>
      <c r="J24" s="58">
        <f>G24*H24</f>
        <v>3.6302378310000001E-2</v>
      </c>
      <c r="K24" s="26"/>
      <c r="L24" s="26"/>
      <c r="M24" s="6">
        <f>+IF(H24&lt;15%,1,IF(H24&lt;30%,2,IF(H24&lt;50%,3,4)))</f>
        <v>2</v>
      </c>
      <c r="N24" s="52"/>
      <c r="O24" s="52"/>
      <c r="P24" s="52"/>
      <c r="Q24" s="52"/>
    </row>
    <row r="25" spans="1:17" ht="15" customHeight="1" outlineLevel="1" x14ac:dyDescent="0.25">
      <c r="A25" s="55" t="s">
        <v>24</v>
      </c>
      <c r="B25" s="56">
        <f>+'data from oilseed masterfile'!T6</f>
        <v>7.8829399999999996</v>
      </c>
      <c r="C25" s="56">
        <f>+'data from oilseed masterfile'!T14</f>
        <v>0.46440537700000006</v>
      </c>
      <c r="D25" s="56">
        <f>+'data from oilseed masterfile'!T18</f>
        <v>0.45057214099999998</v>
      </c>
      <c r="E25" s="56">
        <f>+B25+C25-D25</f>
        <v>7.8967732359999996</v>
      </c>
      <c r="F25" s="56">
        <f>+B25*2%</f>
        <v>0.15765879999999999</v>
      </c>
      <c r="G25" s="56">
        <f>F25</f>
        <v>0.15765879999999999</v>
      </c>
      <c r="H25" s="57">
        <v>0.14799999999999999</v>
      </c>
      <c r="I25" s="58">
        <f>F25*H25</f>
        <v>2.3333502399999997E-2</v>
      </c>
      <c r="J25" s="58">
        <f>G25*H25</f>
        <v>2.3333502399999997E-2</v>
      </c>
      <c r="K25" s="26"/>
      <c r="L25" s="26"/>
      <c r="M25" s="6">
        <f>+IF(H25&lt;15%,1,IF(H25&lt;30%,2,IF(H25&lt;50%,3,4)))</f>
        <v>1</v>
      </c>
      <c r="N25" s="52"/>
      <c r="O25" s="52"/>
      <c r="P25" s="52"/>
      <c r="Q25" s="52"/>
    </row>
    <row r="26" spans="1:17" ht="12.75" customHeight="1" outlineLevel="1" x14ac:dyDescent="0.25">
      <c r="A26" s="20"/>
      <c r="B26" s="21"/>
      <c r="C26" s="21"/>
      <c r="D26" s="21"/>
      <c r="E26" s="21"/>
      <c r="F26" s="22"/>
      <c r="G26" s="22"/>
      <c r="H26" s="23"/>
      <c r="I26" s="24"/>
      <c r="J26" s="25"/>
      <c r="K26" s="26"/>
      <c r="L26" s="26"/>
      <c r="M26" s="6"/>
      <c r="N26" s="52"/>
      <c r="O26" s="52"/>
      <c r="P26" s="52"/>
      <c r="Q26" s="52"/>
    </row>
    <row r="27" spans="1:17" ht="20.25" customHeight="1" outlineLevel="1" x14ac:dyDescent="0.25">
      <c r="A27" s="48" t="s">
        <v>86</v>
      </c>
      <c r="B27" s="49">
        <f t="shared" ref="B27:G27" si="6">SUM(B29:B32)</f>
        <v>4.1389500000000004</v>
      </c>
      <c r="C27" s="49">
        <f t="shared" si="6"/>
        <v>0.55208266299999997</v>
      </c>
      <c r="D27" s="49">
        <f t="shared" si="6"/>
        <v>0.79163310500000006</v>
      </c>
      <c r="E27" s="49">
        <f t="shared" si="6"/>
        <v>3.8993995579999998</v>
      </c>
      <c r="F27" s="49">
        <f t="shared" si="6"/>
        <v>2.8186840852541755</v>
      </c>
      <c r="G27" s="49">
        <f t="shared" si="6"/>
        <v>2.5589514462583089</v>
      </c>
      <c r="H27" s="50"/>
      <c r="I27" s="50">
        <f>SUM(I29:I32)</f>
        <v>0.73130561761274393</v>
      </c>
      <c r="J27" s="50">
        <f>SUM(J29:J32)</f>
        <v>0.65756596711593507</v>
      </c>
      <c r="K27" s="51">
        <f>J27/I27</f>
        <v>0.89916712148674205</v>
      </c>
      <c r="L27" s="51">
        <f>+I27/$I$89</f>
        <v>1.0031680722127399E-2</v>
      </c>
      <c r="M27" s="6"/>
      <c r="N27" s="52"/>
      <c r="O27" s="52"/>
      <c r="P27" s="52"/>
      <c r="Q27" s="52"/>
    </row>
    <row r="28" spans="1:17" ht="15.75" customHeight="1" outlineLevel="1" x14ac:dyDescent="0.25">
      <c r="A28" s="20"/>
      <c r="B28" s="21"/>
      <c r="C28" s="21"/>
      <c r="D28" s="21"/>
      <c r="E28" s="21"/>
      <c r="F28" s="22"/>
      <c r="G28" s="22"/>
      <c r="H28" s="23"/>
      <c r="I28" s="24"/>
      <c r="J28" s="25"/>
      <c r="K28" s="26"/>
      <c r="L28" s="26"/>
      <c r="M28" s="6"/>
      <c r="N28" s="52"/>
      <c r="O28" s="52"/>
      <c r="P28" s="52"/>
      <c r="Q28" s="52"/>
    </row>
    <row r="29" spans="1:17" ht="15" customHeight="1" outlineLevel="1" x14ac:dyDescent="0.25">
      <c r="A29" s="55" t="s">
        <v>87</v>
      </c>
      <c r="B29" s="56">
        <f>'data from protein balance sheet'!F4</f>
        <v>1.8971200000000001</v>
      </c>
      <c r="C29" s="56">
        <f>'data from protein balance sheet'!F20</f>
        <v>6.0517906000000003E-2</v>
      </c>
      <c r="D29" s="56">
        <f>'data from protein balance sheet'!F28</f>
        <v>0.48862923900000005</v>
      </c>
      <c r="E29" s="56">
        <f>'data from protein balance sheet'!F12</f>
        <v>1.469008667</v>
      </c>
      <c r="F29" s="56">
        <f>'data from protein balance sheet'!F36</f>
        <v>1.0571244692400001</v>
      </c>
      <c r="G29" s="56">
        <f>IF(B29&gt;E29,F29,F29*B29/E29)</f>
        <v>1.0571244692400001</v>
      </c>
      <c r="H29" s="63">
        <v>0.22500000000000001</v>
      </c>
      <c r="I29" s="58">
        <f>F29*H29</f>
        <v>0.23785300557900005</v>
      </c>
      <c r="J29" s="58">
        <f>G29*H29</f>
        <v>0.23785300557900005</v>
      </c>
      <c r="K29" s="26"/>
      <c r="L29" s="26"/>
      <c r="M29" s="6">
        <f>+IF(H29&lt;15%,1,IF(H29&lt;30%,2,IF(H29&lt;50%,3,4)))</f>
        <v>2</v>
      </c>
      <c r="N29" s="52"/>
      <c r="O29" s="52"/>
      <c r="P29" s="52"/>
      <c r="Q29" s="52"/>
    </row>
    <row r="30" spans="1:17" ht="15" customHeight="1" outlineLevel="1" x14ac:dyDescent="0.25">
      <c r="A30" s="55" t="s">
        <v>27</v>
      </c>
      <c r="B30" s="56">
        <f>'data from protein balance sheet'!F5</f>
        <v>1.2234499999999995</v>
      </c>
      <c r="C30" s="56">
        <f>'data from protein balance sheet'!F21</f>
        <v>2.3320551999999994E-2</v>
      </c>
      <c r="D30" s="56">
        <f>'data from protein balance sheet'!F29</f>
        <v>0.27632078700000001</v>
      </c>
      <c r="E30" s="56">
        <f>'data from protein balance sheet'!F13</f>
        <v>0.97044976499999946</v>
      </c>
      <c r="F30" s="56">
        <f>'data from protein balance sheet'!F37</f>
        <v>0.82286856431999966</v>
      </c>
      <c r="G30" s="56">
        <f>IF(B30&gt;E30,F30,F30*B30/E30)</f>
        <v>0.82286856431999966</v>
      </c>
      <c r="H30" s="63">
        <v>0.26</v>
      </c>
      <c r="I30" s="58">
        <f>F30*H30</f>
        <v>0.21394582672319992</v>
      </c>
      <c r="J30" s="58">
        <f>G30*H30</f>
        <v>0.21394582672319992</v>
      </c>
      <c r="K30" s="26"/>
      <c r="L30" s="26"/>
      <c r="M30" s="6">
        <f>+IF(H30&lt;15%,1,IF(H30&lt;30%,2,IF(H30&lt;50%,3,4)))</f>
        <v>2</v>
      </c>
      <c r="N30" s="52"/>
      <c r="O30" s="52"/>
      <c r="P30" s="52"/>
      <c r="Q30" s="52"/>
    </row>
    <row r="31" spans="1:17" ht="15" customHeight="1" outlineLevel="1" x14ac:dyDescent="0.25">
      <c r="A31" s="55" t="s">
        <v>28</v>
      </c>
      <c r="B31" s="56">
        <f>'data from protein balance sheet'!F7</f>
        <v>0.36370999999999998</v>
      </c>
      <c r="C31" s="56">
        <f>'data from protein balance sheet'!F23</f>
        <v>8.9158913000000006E-2</v>
      </c>
      <c r="D31" s="56">
        <f>'data from protein balance sheet'!F31</f>
        <v>2.5443900000000002E-4</v>
      </c>
      <c r="E31" s="56">
        <f>'data from protein balance sheet'!F15</f>
        <v>0.45261447400000004</v>
      </c>
      <c r="F31" s="56">
        <f>'data from protein balance sheet'!F39</f>
        <v>0.44834022387</v>
      </c>
      <c r="G31" s="56">
        <f>IF(B31&gt;E31,F31,F31*B31/E31)</f>
        <v>0.36027531639157806</v>
      </c>
      <c r="H31" s="61">
        <v>0.35</v>
      </c>
      <c r="I31" s="58">
        <f>F31*H31</f>
        <v>0.1569190783545</v>
      </c>
      <c r="J31" s="58">
        <f>G31*H31</f>
        <v>0.12609636073705233</v>
      </c>
      <c r="K31" s="26"/>
      <c r="L31" s="26"/>
      <c r="M31" s="6">
        <f>+IF(H31&lt;15%,1,IF(H31&lt;30%,2,IF(H31&lt;50%,3,4)))</f>
        <v>3</v>
      </c>
      <c r="N31" s="52"/>
      <c r="O31" s="52"/>
      <c r="P31" s="52"/>
      <c r="Q31" s="52"/>
    </row>
    <row r="32" spans="1:17" ht="15" customHeight="1" outlineLevel="1" x14ac:dyDescent="0.25">
      <c r="A32" s="55" t="s">
        <v>29</v>
      </c>
      <c r="B32" s="56">
        <f>'data from protein balance sheet'!F9</f>
        <v>0.65467000000000009</v>
      </c>
      <c r="C32" s="56">
        <f>'data from protein balance sheet'!F25</f>
        <v>0.37908529200000002</v>
      </c>
      <c r="D32" s="56">
        <f>'data from protein balance sheet'!F33</f>
        <v>2.6428639999999996E-2</v>
      </c>
      <c r="E32" s="56">
        <f>'data from protein balance sheet'!F17</f>
        <v>1.0073266520000002</v>
      </c>
      <c r="F32" s="56">
        <f>'data from protein balance sheet'!F41</f>
        <v>0.49035082782417555</v>
      </c>
      <c r="G32" s="56">
        <f>IF(B32&gt;E32,F32,F32*B32/E32)</f>
        <v>0.31868309630673108</v>
      </c>
      <c r="H32" s="63">
        <v>0.25</v>
      </c>
      <c r="I32" s="58">
        <f>F32*H32</f>
        <v>0.12258770695604389</v>
      </c>
      <c r="J32" s="58">
        <f>G32*H32</f>
        <v>7.9670774076682771E-2</v>
      </c>
      <c r="K32" s="26"/>
      <c r="L32" s="26"/>
      <c r="M32" s="6">
        <f>+IF(H32&lt;15%,1,IF(H32&lt;30%,2,IF(H32&lt;50%,3,4)))</f>
        <v>2</v>
      </c>
      <c r="N32" s="52"/>
      <c r="O32" s="52"/>
      <c r="P32" s="52"/>
      <c r="Q32" s="52"/>
    </row>
    <row r="33" spans="1:17" ht="12.75" customHeight="1" x14ac:dyDescent="0.25">
      <c r="A33" s="20"/>
      <c r="B33" s="21"/>
      <c r="C33" s="21"/>
      <c r="D33" s="21"/>
      <c r="E33" s="21"/>
      <c r="F33" s="22"/>
      <c r="G33" s="22"/>
      <c r="H33" s="23"/>
      <c r="I33" s="24"/>
      <c r="J33" s="25"/>
      <c r="K33" s="26"/>
      <c r="L33" s="26"/>
      <c r="M33" s="6"/>
      <c r="N33" s="52"/>
      <c r="O33" s="52"/>
      <c r="P33" s="52"/>
      <c r="Q33" s="52"/>
    </row>
    <row r="34" spans="1:17" ht="36" customHeight="1" x14ac:dyDescent="0.25">
      <c r="A34" s="27" t="s">
        <v>30</v>
      </c>
      <c r="B34" s="28"/>
      <c r="C34" s="28"/>
      <c r="D34" s="28"/>
      <c r="E34" s="28"/>
      <c r="F34" s="29">
        <f>+F36+F63</f>
        <v>80.596130874977277</v>
      </c>
      <c r="G34" s="29">
        <f>+G36+G63</f>
        <v>42.633671408066547</v>
      </c>
      <c r="H34" s="30"/>
      <c r="I34" s="30">
        <f>+I36+I63</f>
        <v>24.613701467789863</v>
      </c>
      <c r="J34" s="30">
        <f>+J36+J63</f>
        <v>9.2252570376287153</v>
      </c>
      <c r="K34" s="31">
        <f>IF(I34=0,0,J34/I34)</f>
        <v>0.37480169529565188</v>
      </c>
      <c r="L34" s="31">
        <f>+I34/$I$89</f>
        <v>0.3376383123114185</v>
      </c>
      <c r="M34" s="6"/>
      <c r="N34" s="52"/>
      <c r="O34" s="52"/>
      <c r="P34" s="52"/>
      <c r="Q34" s="52"/>
    </row>
    <row r="35" spans="1:17" ht="12.75" customHeight="1" x14ac:dyDescent="0.25">
      <c r="A35" s="20"/>
      <c r="B35" s="21"/>
      <c r="C35" s="21"/>
      <c r="D35" s="21"/>
      <c r="E35" s="21"/>
      <c r="F35" s="22"/>
      <c r="G35" s="22"/>
      <c r="H35" s="23"/>
      <c r="I35" s="24"/>
      <c r="J35" s="25"/>
      <c r="K35" s="26"/>
      <c r="L35" s="26"/>
      <c r="M35" s="6"/>
      <c r="N35" s="52"/>
      <c r="O35" s="52"/>
      <c r="P35" s="52"/>
      <c r="Q35" s="52"/>
    </row>
    <row r="36" spans="1:17" ht="18.75" customHeight="1" outlineLevel="1" x14ac:dyDescent="0.25">
      <c r="A36" s="48" t="s">
        <v>31</v>
      </c>
      <c r="B36" s="49">
        <f t="shared" ref="B36:E36" si="7">+B38+B45+B51+B57</f>
        <v>27.62480184213458</v>
      </c>
      <c r="C36" s="49">
        <f t="shared" si="7"/>
        <v>24.389532877000001</v>
      </c>
      <c r="D36" s="49">
        <f t="shared" si="7"/>
        <v>1.8908946769999997</v>
      </c>
      <c r="E36" s="49">
        <f t="shared" si="7"/>
        <v>50.123440042134582</v>
      </c>
      <c r="F36" s="49">
        <f>+F38+F45+F51+F57</f>
        <v>49.92814603619987</v>
      </c>
      <c r="G36" s="49">
        <f>+G38+G45+G51+G57</f>
        <v>13.922959362289141</v>
      </c>
      <c r="H36" s="50"/>
      <c r="I36" s="50">
        <f>+I38+I45+I51+I57</f>
        <v>19.907791646590979</v>
      </c>
      <c r="J36" s="50">
        <f>+J38+J45+J51+J57</f>
        <v>4.7972883014848344</v>
      </c>
      <c r="K36" s="51">
        <f>IF(I36=0,0,J36/I36)</f>
        <v>0.24097541237359316</v>
      </c>
      <c r="L36" s="51">
        <f>+I36/$I$89</f>
        <v>0.2730850206417933</v>
      </c>
      <c r="M36" s="6"/>
      <c r="N36" s="52"/>
      <c r="O36" s="52"/>
      <c r="P36" s="52"/>
      <c r="Q36" s="52"/>
    </row>
    <row r="37" spans="1:17" ht="7.5" customHeight="1" outlineLevel="1" x14ac:dyDescent="0.25">
      <c r="A37" s="20"/>
      <c r="B37" s="21"/>
      <c r="C37" s="21"/>
      <c r="D37" s="21"/>
      <c r="E37" s="21"/>
      <c r="F37" s="22"/>
      <c r="G37" s="22"/>
      <c r="H37" s="23"/>
      <c r="I37" s="24"/>
      <c r="J37" s="25"/>
      <c r="K37" s="26"/>
      <c r="L37" s="26"/>
      <c r="M37" s="6"/>
      <c r="N37" s="52"/>
      <c r="O37" s="52"/>
      <c r="P37" s="52"/>
      <c r="Q37" s="52"/>
    </row>
    <row r="38" spans="1:17" ht="15" customHeight="1" outlineLevel="2" x14ac:dyDescent="0.25">
      <c r="A38" s="48" t="s">
        <v>88</v>
      </c>
      <c r="B38" s="49">
        <f t="shared" ref="B38:E38" si="8">B40+B41+B42+B43</f>
        <v>10.824118880735849</v>
      </c>
      <c r="C38" s="49">
        <f t="shared" si="8"/>
        <v>18.638581898000002</v>
      </c>
      <c r="D38" s="49">
        <f t="shared" si="8"/>
        <v>0.75941858399999995</v>
      </c>
      <c r="E38" s="49">
        <f t="shared" si="8"/>
        <v>28.703282194735852</v>
      </c>
      <c r="F38" s="49">
        <f>F40+F41+F42+F43</f>
        <v>28.507988188801132</v>
      </c>
      <c r="G38" s="49">
        <f>G40+G41+G42+G43</f>
        <v>0.85529530469180015</v>
      </c>
      <c r="H38" s="50"/>
      <c r="I38" s="50">
        <f>SUM(I40:I43)</f>
        <v>13.000752243287222</v>
      </c>
      <c r="J38" s="50">
        <f>SUM(J40:J43)</f>
        <v>0.36777698101747408</v>
      </c>
      <c r="K38" s="51">
        <f>IF(I38=0,0,J38/I38)</f>
        <v>2.8288900067868855E-2</v>
      </c>
      <c r="L38" s="51">
        <f>+I38/$I$89</f>
        <v>0.1783377462323848</v>
      </c>
      <c r="M38" s="6"/>
      <c r="N38" s="73"/>
      <c r="O38" s="73"/>
      <c r="P38" s="52"/>
      <c r="Q38" s="52"/>
    </row>
    <row r="39" spans="1:17" ht="15" customHeight="1" outlineLevel="2" x14ac:dyDescent="0.25">
      <c r="A39" s="20"/>
      <c r="B39" s="21"/>
      <c r="C39" s="21"/>
      <c r="D39" s="21"/>
      <c r="E39" s="21"/>
      <c r="F39" s="22"/>
      <c r="G39" s="22"/>
      <c r="H39" s="23"/>
      <c r="I39" s="24"/>
      <c r="J39" s="25"/>
      <c r="K39" s="26"/>
      <c r="L39" s="26"/>
      <c r="M39" s="6"/>
      <c r="N39" s="73"/>
      <c r="O39" s="73"/>
      <c r="P39" s="52"/>
      <c r="Q39" s="52"/>
    </row>
    <row r="40" spans="1:17" ht="15" customHeight="1" outlineLevel="2" x14ac:dyDescent="0.25">
      <c r="A40" s="55" t="s">
        <v>33</v>
      </c>
      <c r="B40" s="56">
        <f>(MIN((B23-D23)*'data from oilseed masterfile'!T40,B23-D23-G23)*0.79)</f>
        <v>0.87275031091000022</v>
      </c>
      <c r="C40" s="56"/>
      <c r="D40" s="56"/>
      <c r="E40" s="56">
        <f>B40-D40</f>
        <v>0.87275031091000022</v>
      </c>
      <c r="F40" s="56">
        <f>(B40-D40)*0.98</f>
        <v>0.85529530469180015</v>
      </c>
      <c r="G40" s="56">
        <f>F40</f>
        <v>0.85529530469180015</v>
      </c>
      <c r="H40" s="61">
        <v>0.43</v>
      </c>
      <c r="I40" s="58">
        <f>F40*H40</f>
        <v>0.36777698101747408</v>
      </c>
      <c r="J40" s="58">
        <f>G40*H40</f>
        <v>0.36777698101747408</v>
      </c>
      <c r="K40" s="26"/>
      <c r="L40" s="26"/>
      <c r="M40" s="6">
        <f>+IF(H40&lt;15%,1,IF(H40&lt;30%,2,IF(H40&lt;50%,3,4)))</f>
        <v>3</v>
      </c>
      <c r="N40" s="73"/>
      <c r="O40" s="73"/>
      <c r="P40" s="52"/>
      <c r="Q40" s="52"/>
    </row>
    <row r="41" spans="1:17" ht="15" customHeight="1" outlineLevel="2" x14ac:dyDescent="0.25">
      <c r="A41" s="55" t="s">
        <v>34</v>
      </c>
      <c r="B41" s="56">
        <f>(MIN(C23*'data from oilseed masterfile'!T40,C23-(F23-G23))*0.79-B43)</f>
        <v>9.6513685698258485</v>
      </c>
      <c r="C41" s="56"/>
      <c r="D41" s="56">
        <f>+'data from oilseed masterfile'!T35</f>
        <v>0.75941858399999995</v>
      </c>
      <c r="E41" s="56">
        <f>B41-D41</f>
        <v>8.8919499858258479</v>
      </c>
      <c r="F41" s="56">
        <f>(B41-D41)*0.98</f>
        <v>8.7141109861093309</v>
      </c>
      <c r="G41" s="56">
        <v>0</v>
      </c>
      <c r="H41" s="61">
        <v>0.45500000000000002</v>
      </c>
      <c r="I41" s="58">
        <f>F41*H41</f>
        <v>3.9649204986797457</v>
      </c>
      <c r="J41" s="58">
        <f>G41*H41</f>
        <v>0</v>
      </c>
      <c r="K41" s="26"/>
      <c r="L41" s="26"/>
      <c r="M41" s="6">
        <f>+IF(H41&lt;15%,1,IF(H41&lt;30%,2,IF(H41&lt;50%,3,4)))</f>
        <v>3</v>
      </c>
      <c r="N41" s="73"/>
      <c r="O41" s="73"/>
      <c r="P41" s="52"/>
      <c r="Q41" s="52"/>
    </row>
    <row r="42" spans="1:17" ht="15" customHeight="1" outlineLevel="2" x14ac:dyDescent="0.25">
      <c r="A42" s="55" t="s">
        <v>35</v>
      </c>
      <c r="B42" s="56"/>
      <c r="C42" s="56">
        <f>+'data from oilseed masterfile'!T31</f>
        <v>18.638581898000002</v>
      </c>
      <c r="D42" s="56"/>
      <c r="E42" s="56">
        <f>C42</f>
        <v>18.638581898000002</v>
      </c>
      <c r="F42" s="56">
        <f>(C42-D42)</f>
        <v>18.638581898000002</v>
      </c>
      <c r="G42" s="56">
        <v>0</v>
      </c>
      <c r="H42" s="61">
        <v>0.45500000000000002</v>
      </c>
      <c r="I42" s="58">
        <f>F42*H42</f>
        <v>8.4805547635900016</v>
      </c>
      <c r="J42" s="58">
        <f>G42*H42</f>
        <v>0</v>
      </c>
      <c r="K42" s="26"/>
      <c r="L42" s="26"/>
      <c r="M42" s="6">
        <f>+IF(H42&lt;15%,1,IF(H42&lt;30%,2,IF(H42&lt;50%,3,4)))</f>
        <v>3</v>
      </c>
      <c r="N42" s="73"/>
      <c r="O42" s="73"/>
      <c r="P42" s="52"/>
      <c r="Q42" s="52"/>
    </row>
    <row r="43" spans="1:17" ht="15" customHeight="1" outlineLevel="2" x14ac:dyDescent="0.25">
      <c r="A43" s="55" t="s">
        <v>89</v>
      </c>
      <c r="B43" s="56">
        <f>F43</f>
        <v>0.3</v>
      </c>
      <c r="C43" s="56"/>
      <c r="D43" s="56"/>
      <c r="E43" s="56">
        <f>B43+C43-D43</f>
        <v>0.3</v>
      </c>
      <c r="F43" s="56">
        <v>0.3</v>
      </c>
      <c r="G43" s="56">
        <v>0</v>
      </c>
      <c r="H43" s="65">
        <v>0.625</v>
      </c>
      <c r="I43" s="58">
        <f>F43*H43</f>
        <v>0.1875</v>
      </c>
      <c r="J43" s="58">
        <f>G43*H43</f>
        <v>0</v>
      </c>
      <c r="K43" s="26">
        <f>IF(I43=0,0,J43/I43)</f>
        <v>0</v>
      </c>
      <c r="L43" s="26">
        <f>IF(J43=0,0,K43/J43)</f>
        <v>0</v>
      </c>
      <c r="M43" s="6">
        <f>+IF(H43&lt;15%,1,IF(H43&lt;30%,2,IF(H43&lt;50%,3,4)))</f>
        <v>4</v>
      </c>
      <c r="N43" s="73"/>
      <c r="O43" s="73"/>
      <c r="P43" s="52"/>
      <c r="Q43" s="52"/>
    </row>
    <row r="44" spans="1:17" ht="12.75" customHeight="1" outlineLevel="2" x14ac:dyDescent="0.25">
      <c r="A44" s="20"/>
      <c r="B44" s="21"/>
      <c r="C44" s="21"/>
      <c r="D44" s="21"/>
      <c r="E44" s="21"/>
      <c r="F44" s="22"/>
      <c r="G44" s="22"/>
      <c r="H44" s="23"/>
      <c r="I44" s="24"/>
      <c r="J44" s="25"/>
      <c r="K44" s="26"/>
      <c r="L44" s="26"/>
      <c r="M44" s="6"/>
      <c r="N44" s="73"/>
      <c r="O44" s="73"/>
      <c r="P44" s="52"/>
      <c r="Q44" s="52"/>
    </row>
    <row r="45" spans="1:17" ht="15" customHeight="1" outlineLevel="2" x14ac:dyDescent="0.25">
      <c r="A45" s="48" t="s">
        <v>90</v>
      </c>
      <c r="B45" s="49">
        <f t="shared" ref="B45:E45" si="9">B47+B48+B49</f>
        <v>12.429553190326203</v>
      </c>
      <c r="C45" s="49">
        <f t="shared" si="9"/>
        <v>0.47964443299999993</v>
      </c>
      <c r="D45" s="49">
        <f t="shared" si="9"/>
        <v>0.61415334099999985</v>
      </c>
      <c r="E45" s="49">
        <f t="shared" si="9"/>
        <v>12.295044282326204</v>
      </c>
      <c r="F45" s="49">
        <f>F47+F48+F49</f>
        <v>12.295044282326204</v>
      </c>
      <c r="G45" s="49">
        <f>G47+G48+G49</f>
        <v>9.8044272319227339</v>
      </c>
      <c r="H45" s="50"/>
      <c r="I45" s="50">
        <f>SUM(I47:I49)</f>
        <v>4.0573646131676471</v>
      </c>
      <c r="J45" s="50">
        <f>SUM(J47:J49)</f>
        <v>3.2354609865345023</v>
      </c>
      <c r="K45" s="51">
        <f>IF(I45=0,0,J45/I45)</f>
        <v>0.79742919234673559</v>
      </c>
      <c r="L45" s="51">
        <f>+I45/$I$89</f>
        <v>5.5656876403360596E-2</v>
      </c>
      <c r="M45" s="6"/>
      <c r="N45" s="72"/>
      <c r="O45" s="73"/>
      <c r="P45" s="52"/>
      <c r="Q45" s="52"/>
    </row>
    <row r="46" spans="1:17" ht="15" customHeight="1" outlineLevel="2" x14ac:dyDescent="0.25">
      <c r="A46" s="20"/>
      <c r="B46" s="21"/>
      <c r="C46" s="21"/>
      <c r="D46" s="21"/>
      <c r="E46" s="21"/>
      <c r="F46" s="22"/>
      <c r="G46" s="22"/>
      <c r="H46" s="23"/>
      <c r="I46" s="24"/>
      <c r="J46" s="25"/>
      <c r="K46" s="26"/>
      <c r="L46" s="26"/>
      <c r="M46" s="6"/>
      <c r="N46" s="52"/>
      <c r="O46" s="52"/>
      <c r="P46" s="52"/>
      <c r="Q46" s="52"/>
    </row>
    <row r="47" spans="1:17" ht="15" customHeight="1" outlineLevel="2" x14ac:dyDescent="0.25">
      <c r="A47" s="55" t="s">
        <v>38</v>
      </c>
      <c r="B47" s="56">
        <f>(MIN((B24-D24)*'data from oilseed masterfile'!T41,B24-D24-G24)*0.57)</f>
        <v>10.418580572922734</v>
      </c>
      <c r="C47" s="56"/>
      <c r="D47" s="56">
        <f>+'data from oilseed masterfile'!T36</f>
        <v>0.61415334099999985</v>
      </c>
      <c r="E47" s="56">
        <f>B47-D47</f>
        <v>9.8044272319227339</v>
      </c>
      <c r="F47" s="56">
        <f>(B47-D47)</f>
        <v>9.8044272319227339</v>
      </c>
      <c r="G47" s="56">
        <f>F47</f>
        <v>9.8044272319227339</v>
      </c>
      <c r="H47" s="61">
        <v>0.33</v>
      </c>
      <c r="I47" s="58">
        <f>F47*H47</f>
        <v>3.2354609865345023</v>
      </c>
      <c r="J47" s="58">
        <f>G47*H47</f>
        <v>3.2354609865345023</v>
      </c>
      <c r="K47" s="26"/>
      <c r="L47" s="26"/>
      <c r="M47" s="6">
        <f>+IF(H47&lt;15%,1,IF(H47&lt;30%,2,IF(H47&lt;50%,3,4)))</f>
        <v>3</v>
      </c>
      <c r="N47" s="52"/>
      <c r="O47" s="52"/>
      <c r="P47" s="52"/>
      <c r="Q47" s="52"/>
    </row>
    <row r="48" spans="1:17" ht="15" customHeight="1" outlineLevel="2" x14ac:dyDescent="0.25">
      <c r="A48" s="55" t="s">
        <v>39</v>
      </c>
      <c r="B48" s="56">
        <f>C24*'data from oilseed masterfile'!T41*0.57</f>
        <v>2.010972617403469</v>
      </c>
      <c r="C48" s="56"/>
      <c r="D48" s="56"/>
      <c r="E48" s="56">
        <f>B48-D48</f>
        <v>2.010972617403469</v>
      </c>
      <c r="F48" s="56">
        <f>(B48-D48)</f>
        <v>2.010972617403469</v>
      </c>
      <c r="G48" s="56">
        <v>0</v>
      </c>
      <c r="H48" s="61">
        <v>0.33</v>
      </c>
      <c r="I48" s="58">
        <f>F48*H48</f>
        <v>0.66362096374314483</v>
      </c>
      <c r="J48" s="58">
        <f>G48*H48</f>
        <v>0</v>
      </c>
      <c r="K48" s="26"/>
      <c r="L48" s="26"/>
      <c r="M48" s="6">
        <f>+IF(H48&lt;15%,1,IF(H48&lt;30%,2,IF(H48&lt;50%,3,4)))</f>
        <v>3</v>
      </c>
      <c r="N48" s="52"/>
      <c r="O48" s="52"/>
      <c r="P48" s="52"/>
      <c r="Q48" s="52"/>
    </row>
    <row r="49" spans="1:28" ht="15" customHeight="1" outlineLevel="2" x14ac:dyDescent="0.25">
      <c r="A49" s="55" t="s">
        <v>40</v>
      </c>
      <c r="B49" s="56"/>
      <c r="C49" s="56">
        <f>+'data from oilseed masterfile'!T32</f>
        <v>0.47964443299999993</v>
      </c>
      <c r="D49" s="56"/>
      <c r="E49" s="56">
        <f>C49</f>
        <v>0.47964443299999993</v>
      </c>
      <c r="F49" s="56">
        <f>IF((C49-D49)&lt;0,0,C49-D49)</f>
        <v>0.47964443299999993</v>
      </c>
      <c r="G49" s="56">
        <v>0</v>
      </c>
      <c r="H49" s="61">
        <v>0.33</v>
      </c>
      <c r="I49" s="58">
        <f>F49*H49</f>
        <v>0.15828266288999998</v>
      </c>
      <c r="J49" s="58">
        <f>G49*H49</f>
        <v>0</v>
      </c>
      <c r="K49" s="26"/>
      <c r="L49" s="26"/>
      <c r="M49" s="6">
        <f>+IF(H49&lt;15%,1,IF(H49&lt;30%,2,IF(H49&lt;50%,3,4)))</f>
        <v>3</v>
      </c>
      <c r="N49" s="73"/>
      <c r="O49" s="73"/>
      <c r="P49" s="52"/>
      <c r="Q49" s="52"/>
      <c r="R49" s="52"/>
      <c r="S49" s="52"/>
      <c r="T49" s="52"/>
      <c r="U49" s="52"/>
      <c r="V49" s="52"/>
      <c r="W49" s="52"/>
      <c r="X49" s="52"/>
      <c r="Y49" s="52"/>
      <c r="Z49" s="52"/>
      <c r="AA49" s="52"/>
      <c r="AB49" s="52"/>
    </row>
    <row r="50" spans="1:28" ht="12.75" customHeight="1" outlineLevel="2" x14ac:dyDescent="0.25">
      <c r="A50" s="20"/>
      <c r="B50" s="21"/>
      <c r="C50" s="21"/>
      <c r="D50" s="21"/>
      <c r="E50" s="21"/>
      <c r="F50" s="22"/>
      <c r="G50" s="22"/>
      <c r="H50" s="23"/>
      <c r="I50" s="24"/>
      <c r="J50" s="25"/>
      <c r="K50" s="26"/>
      <c r="L50" s="26"/>
      <c r="M50" s="6"/>
      <c r="N50" s="73"/>
      <c r="O50" s="73"/>
      <c r="P50" s="52"/>
      <c r="Q50" s="52"/>
      <c r="R50" s="52"/>
      <c r="S50" s="52"/>
      <c r="T50" s="52"/>
      <c r="U50" s="52"/>
      <c r="V50" s="52"/>
      <c r="W50" s="52"/>
      <c r="X50" s="52"/>
      <c r="Y50" s="52"/>
      <c r="Z50" s="52"/>
      <c r="AA50" s="52"/>
      <c r="AB50" s="52"/>
    </row>
    <row r="51" spans="1:28" ht="15" customHeight="1" outlineLevel="2" x14ac:dyDescent="0.25">
      <c r="A51" s="48" t="s">
        <v>91</v>
      </c>
      <c r="B51" s="49">
        <f t="shared" ref="B51:E51" si="10">B53+B54+B55</f>
        <v>3.7701297710725283</v>
      </c>
      <c r="C51" s="49">
        <f t="shared" si="10"/>
        <v>2.997941891</v>
      </c>
      <c r="D51" s="49">
        <f t="shared" si="10"/>
        <v>0.38880365700000002</v>
      </c>
      <c r="E51" s="49">
        <f t="shared" si="10"/>
        <v>6.3792680050725288</v>
      </c>
      <c r="F51" s="49">
        <f>F53+F54+F55</f>
        <v>6.3792680050725288</v>
      </c>
      <c r="G51" s="49">
        <f>G53+G54+G55</f>
        <v>3.1596066236746072</v>
      </c>
      <c r="H51" s="50"/>
      <c r="I51" s="50">
        <f>SUM(I53:I55)</f>
        <v>2.2965364818261103</v>
      </c>
      <c r="J51" s="50">
        <f>SUM(J53:J55)</f>
        <v>1.1374583845228585</v>
      </c>
      <c r="K51" s="51">
        <f>IF(I51=0,0,J51/I51)</f>
        <v>0.49529297423500929</v>
      </c>
      <c r="L51" s="51">
        <f>+I51/$I$89</f>
        <v>3.1502726353453081E-2</v>
      </c>
      <c r="M51" s="6"/>
      <c r="N51" s="72"/>
      <c r="O51" s="73"/>
      <c r="P51" s="52"/>
      <c r="Q51" s="52"/>
      <c r="R51" s="52"/>
      <c r="S51" s="52"/>
      <c r="T51" s="52"/>
      <c r="U51" s="52"/>
      <c r="V51" s="52"/>
      <c r="W51" s="52"/>
      <c r="X51" s="52"/>
      <c r="Y51" s="52"/>
      <c r="Z51" s="52"/>
      <c r="AA51" s="52"/>
      <c r="AB51" s="52"/>
    </row>
    <row r="52" spans="1:28" ht="15" customHeight="1" outlineLevel="2" x14ac:dyDescent="0.25">
      <c r="A52" s="20"/>
      <c r="B52" s="21"/>
      <c r="C52" s="21"/>
      <c r="D52" s="21"/>
      <c r="E52" s="21"/>
      <c r="F52" s="22"/>
      <c r="G52" s="22"/>
      <c r="H52" s="23"/>
      <c r="I52" s="24"/>
      <c r="J52" s="25"/>
      <c r="K52" s="26"/>
      <c r="L52" s="26"/>
      <c r="M52" s="6"/>
      <c r="N52" s="52"/>
      <c r="O52" s="52"/>
      <c r="P52" s="52"/>
      <c r="Q52" s="52"/>
      <c r="R52" s="52"/>
      <c r="S52" s="52"/>
      <c r="T52" s="52"/>
      <c r="U52" s="52"/>
      <c r="V52" s="52"/>
      <c r="W52" s="52"/>
      <c r="X52" s="52"/>
      <c r="Y52" s="52"/>
      <c r="Z52" s="52"/>
      <c r="AA52" s="52"/>
      <c r="AB52" s="52"/>
    </row>
    <row r="53" spans="1:28" ht="15" customHeight="1" outlineLevel="2" x14ac:dyDescent="0.25">
      <c r="A53" s="55" t="s">
        <v>42</v>
      </c>
      <c r="B53" s="56">
        <f>MIN((B25-D25)*'data from oilseed masterfile'!T42,B25-D25-F25)*55%</f>
        <v>3.5484102806746072</v>
      </c>
      <c r="C53" s="56"/>
      <c r="D53" s="56">
        <f>+'data from oilseed masterfile'!T37</f>
        <v>0.38880365700000002</v>
      </c>
      <c r="E53" s="56">
        <f>B53-D53</f>
        <v>3.1596066236746072</v>
      </c>
      <c r="F53" s="56">
        <f>(B53-D53)</f>
        <v>3.1596066236746072</v>
      </c>
      <c r="G53" s="56">
        <f>F53</f>
        <v>3.1596066236746072</v>
      </c>
      <c r="H53" s="61">
        <v>0.36</v>
      </c>
      <c r="I53" s="58">
        <f>F53*H53</f>
        <v>1.1374583845228585</v>
      </c>
      <c r="J53" s="58">
        <f>G53*H53</f>
        <v>1.1374583845228585</v>
      </c>
      <c r="K53" s="26"/>
      <c r="L53" s="26"/>
      <c r="M53" s="6">
        <f>+IF(H53&lt;15%,1,IF(H53&lt;30%,2,IF(H53&lt;50%,3,4)))</f>
        <v>3</v>
      </c>
      <c r="N53" s="52"/>
      <c r="O53" s="52"/>
      <c r="P53" s="52"/>
      <c r="Q53" s="52"/>
      <c r="R53" s="52"/>
      <c r="S53" s="52"/>
      <c r="T53" s="52"/>
      <c r="U53" s="52"/>
      <c r="V53" s="52"/>
      <c r="W53" s="52"/>
      <c r="X53" s="52"/>
      <c r="Y53" s="52"/>
      <c r="Z53" s="52"/>
      <c r="AA53" s="52"/>
      <c r="AB53" s="52"/>
    </row>
    <row r="54" spans="1:28" ht="15" customHeight="1" outlineLevel="2" x14ac:dyDescent="0.25">
      <c r="A54" s="55" t="s">
        <v>43</v>
      </c>
      <c r="B54" s="56">
        <f>C25*'data from oilseed masterfile'!T42*55%</f>
        <v>0.22171949039792102</v>
      </c>
      <c r="C54" s="56"/>
      <c r="D54" s="56"/>
      <c r="E54" s="56">
        <f>B54-D54</f>
        <v>0.22171949039792102</v>
      </c>
      <c r="F54" s="56">
        <f>(B54-D54)</f>
        <v>0.22171949039792102</v>
      </c>
      <c r="G54" s="56">
        <v>0</v>
      </c>
      <c r="H54" s="61">
        <v>0.36</v>
      </c>
      <c r="I54" s="58">
        <f>F54*H54</f>
        <v>7.9819016543251561E-2</v>
      </c>
      <c r="J54" s="58">
        <f>G54*H54</f>
        <v>0</v>
      </c>
      <c r="K54" s="26"/>
      <c r="L54" s="26"/>
      <c r="M54" s="6">
        <f>+IF(H54&lt;15%,1,IF(H54&lt;30%,2,IF(H54&lt;50%,3,4)))</f>
        <v>3</v>
      </c>
      <c r="N54" s="52"/>
      <c r="O54" s="52"/>
      <c r="P54" s="52"/>
      <c r="Q54" s="52"/>
      <c r="R54" s="52"/>
      <c r="S54" s="52"/>
      <c r="T54" s="52"/>
      <c r="U54" s="52"/>
      <c r="V54" s="52"/>
      <c r="W54" s="52"/>
      <c r="X54" s="52"/>
      <c r="Y54" s="52"/>
      <c r="Z54" s="52"/>
      <c r="AA54" s="52"/>
      <c r="AB54" s="52"/>
    </row>
    <row r="55" spans="1:28" ht="15" customHeight="1" outlineLevel="2" x14ac:dyDescent="0.25">
      <c r="A55" s="55" t="s">
        <v>44</v>
      </c>
      <c r="B55" s="56"/>
      <c r="C55" s="56">
        <f>+'data from oilseed masterfile'!T33</f>
        <v>2.997941891</v>
      </c>
      <c r="D55" s="56"/>
      <c r="E55" s="56">
        <f>C55</f>
        <v>2.997941891</v>
      </c>
      <c r="F55" s="56">
        <f>C55-D55</f>
        <v>2.997941891</v>
      </c>
      <c r="G55" s="56">
        <v>0</v>
      </c>
      <c r="H55" s="61">
        <v>0.36</v>
      </c>
      <c r="I55" s="58">
        <f>F55*H55</f>
        <v>1.07925908076</v>
      </c>
      <c r="J55" s="58">
        <f>G55*H55</f>
        <v>0</v>
      </c>
      <c r="K55" s="26"/>
      <c r="L55" s="26"/>
      <c r="M55" s="6">
        <f>+IF(H55&lt;15%,1,IF(H55&lt;30%,2,IF(H55&lt;50%,3,4)))</f>
        <v>3</v>
      </c>
      <c r="N55" s="73"/>
      <c r="O55" s="73"/>
      <c r="P55" s="52"/>
      <c r="Q55" s="52"/>
      <c r="R55" s="52"/>
      <c r="S55" s="52"/>
      <c r="T55" s="52"/>
      <c r="U55" s="52"/>
      <c r="V55" s="52"/>
      <c r="W55" s="52"/>
      <c r="X55" s="52"/>
      <c r="Y55" s="52"/>
      <c r="Z55" s="52"/>
      <c r="AA55" s="52"/>
      <c r="AB55" s="52"/>
    </row>
    <row r="56" spans="1:28" ht="12.75" customHeight="1" outlineLevel="2" x14ac:dyDescent="0.25">
      <c r="A56" s="20"/>
      <c r="B56" s="21"/>
      <c r="C56" s="21"/>
      <c r="D56" s="21"/>
      <c r="E56" s="21"/>
      <c r="F56" s="22"/>
      <c r="G56" s="22"/>
      <c r="H56" s="23"/>
      <c r="I56" s="24"/>
      <c r="J56" s="25"/>
      <c r="K56" s="26"/>
      <c r="L56" s="26"/>
      <c r="M56" s="6"/>
      <c r="N56" s="73"/>
      <c r="O56" s="73"/>
      <c r="P56" s="52"/>
      <c r="Q56" s="52"/>
      <c r="R56" s="52"/>
      <c r="S56" s="52"/>
      <c r="T56" s="52"/>
      <c r="U56" s="52"/>
      <c r="V56" s="52"/>
      <c r="W56" s="52"/>
      <c r="X56" s="52"/>
      <c r="Y56" s="52"/>
      <c r="Z56" s="52"/>
      <c r="AA56" s="52"/>
      <c r="AB56" s="52"/>
    </row>
    <row r="57" spans="1:28" ht="15" customHeight="1" outlineLevel="2" x14ac:dyDescent="0.25">
      <c r="A57" s="48" t="s">
        <v>92</v>
      </c>
      <c r="B57" s="49">
        <f t="shared" ref="B57:E57" si="11">B59+B60+B61</f>
        <v>0.60099999999999998</v>
      </c>
      <c r="C57" s="49">
        <f t="shared" si="11"/>
        <v>2.2733646549999995</v>
      </c>
      <c r="D57" s="49">
        <f t="shared" si="11"/>
        <v>0.128519095</v>
      </c>
      <c r="E57" s="49">
        <f t="shared" si="11"/>
        <v>2.7458455599999998</v>
      </c>
      <c r="F57" s="49">
        <f>F59+F60+F61</f>
        <v>2.7458455599999998</v>
      </c>
      <c r="G57" s="49">
        <f>G59+G60+G61</f>
        <v>0.10363020199999999</v>
      </c>
      <c r="H57" s="50"/>
      <c r="I57" s="50">
        <f>SUM(I59:I61)</f>
        <v>0.55313830830999999</v>
      </c>
      <c r="J57" s="50">
        <f>SUM(J59:J61)</f>
        <v>5.6591949410000002E-2</v>
      </c>
      <c r="K57" s="51">
        <f>IF(I57=0,0,J57/I57)</f>
        <v>0.10231066725952326</v>
      </c>
      <c r="L57" s="51">
        <f>+I57/$I$89</f>
        <v>7.587671652594853E-3</v>
      </c>
      <c r="M57" s="6"/>
      <c r="N57" s="73"/>
      <c r="O57" s="73"/>
      <c r="P57" s="52"/>
      <c r="Q57" s="52"/>
      <c r="R57" s="52"/>
      <c r="S57" s="52"/>
      <c r="T57" s="52"/>
      <c r="U57" s="52"/>
      <c r="V57" s="52"/>
      <c r="W57" s="52"/>
      <c r="X57" s="52"/>
      <c r="Y57" s="52"/>
      <c r="Z57" s="52"/>
      <c r="AA57" s="52"/>
      <c r="AB57" s="52"/>
    </row>
    <row r="58" spans="1:28" ht="15" customHeight="1" outlineLevel="2" x14ac:dyDescent="0.25">
      <c r="A58" s="20"/>
      <c r="B58" s="21"/>
      <c r="C58" s="21"/>
      <c r="D58" s="21"/>
      <c r="E58" s="21"/>
      <c r="F58" s="22"/>
      <c r="G58" s="22"/>
      <c r="H58" s="23"/>
      <c r="I58" s="24"/>
      <c r="J58" s="25"/>
      <c r="K58" s="26"/>
      <c r="L58" s="26"/>
      <c r="M58" s="6"/>
      <c r="N58" s="73"/>
      <c r="O58" s="73"/>
      <c r="P58" s="52"/>
      <c r="Q58" s="52"/>
      <c r="R58" s="52"/>
      <c r="S58" s="52"/>
      <c r="T58" s="52"/>
      <c r="U58" s="52"/>
      <c r="V58" s="52"/>
      <c r="W58" s="52"/>
      <c r="X58" s="52"/>
      <c r="Y58" s="52"/>
      <c r="Z58" s="52"/>
      <c r="AA58" s="52"/>
      <c r="AB58" s="52"/>
    </row>
    <row r="59" spans="1:28" ht="15" customHeight="1" outlineLevel="2" x14ac:dyDescent="0.25">
      <c r="A59" s="55" t="s">
        <v>46</v>
      </c>
      <c r="B59" s="56">
        <v>0</v>
      </c>
      <c r="C59" s="56">
        <v>2.2322603489999997</v>
      </c>
      <c r="D59" s="56">
        <v>8.6898927000000001E-2</v>
      </c>
      <c r="E59" s="56">
        <f>B59+C59-D59</f>
        <v>2.1453614219999997</v>
      </c>
      <c r="F59" s="56">
        <f>E59</f>
        <v>2.1453614219999997</v>
      </c>
      <c r="G59" s="56">
        <f>IF(B59&gt;E59,F59,F59*(B59-D59)/E59)</f>
        <v>-8.6898927000000001E-2</v>
      </c>
      <c r="H59" s="63">
        <v>0.16</v>
      </c>
      <c r="I59" s="58">
        <f>F59*H59</f>
        <v>0.34325782751999995</v>
      </c>
      <c r="J59" s="58">
        <f>G59*H59</f>
        <v>-1.390382832E-2</v>
      </c>
      <c r="K59" s="26"/>
      <c r="L59" s="26"/>
      <c r="M59" s="6">
        <f>+IF(H59&lt;15%,1,IF(H59&lt;30%,2,IF(H59&lt;50%,3,4)))</f>
        <v>2</v>
      </c>
      <c r="N59" s="52"/>
      <c r="O59" s="52"/>
      <c r="P59" s="52"/>
      <c r="Q59" s="52"/>
      <c r="R59" s="52"/>
      <c r="S59" s="52"/>
      <c r="T59" s="52"/>
      <c r="U59" s="52"/>
      <c r="V59" s="52"/>
      <c r="W59" s="52"/>
      <c r="X59" s="52"/>
      <c r="Y59" s="52"/>
      <c r="Z59" s="52"/>
      <c r="AA59" s="52"/>
      <c r="AB59" s="52"/>
    </row>
    <row r="60" spans="1:28" ht="15" customHeight="1" outlineLevel="2" x14ac:dyDescent="0.25">
      <c r="A60" s="55" t="s">
        <v>47</v>
      </c>
      <c r="B60" s="56">
        <v>0.40899999999999997</v>
      </c>
      <c r="C60" s="56">
        <v>1.1931814000000002E-2</v>
      </c>
      <c r="D60" s="56">
        <v>1.0976804999999999E-2</v>
      </c>
      <c r="E60" s="56">
        <f>B60+C60-D60</f>
        <v>0.40995500899999998</v>
      </c>
      <c r="F60" s="56">
        <f>E60</f>
        <v>0.40995500899999998</v>
      </c>
      <c r="G60" s="56">
        <v>0</v>
      </c>
      <c r="H60" s="61">
        <v>0.34</v>
      </c>
      <c r="I60" s="58">
        <f>F60*H60</f>
        <v>0.13938470306</v>
      </c>
      <c r="J60" s="58">
        <f>G60*H60</f>
        <v>0</v>
      </c>
      <c r="K60" s="26"/>
      <c r="L60" s="26"/>
      <c r="M60" s="6">
        <f>+IF(H60&lt;15%,1,IF(H60&lt;30%,2,IF(H60&lt;50%,3,4)))</f>
        <v>3</v>
      </c>
      <c r="N60" s="52"/>
      <c r="O60" s="52"/>
      <c r="P60" s="52"/>
      <c r="Q60" s="52"/>
      <c r="R60" s="52"/>
      <c r="S60" s="52"/>
      <c r="T60" s="52"/>
      <c r="U60" s="52"/>
      <c r="V60" s="52"/>
      <c r="W60" s="52"/>
      <c r="X60" s="52"/>
      <c r="Y60" s="52"/>
      <c r="Z60" s="52"/>
      <c r="AA60" s="52"/>
      <c r="AB60" s="52"/>
    </row>
    <row r="61" spans="1:28" ht="15" customHeight="1" outlineLevel="2" x14ac:dyDescent="0.25">
      <c r="A61" s="55" t="s">
        <v>48</v>
      </c>
      <c r="B61" s="56">
        <v>0.192</v>
      </c>
      <c r="C61" s="56">
        <v>2.9172492000000001E-2</v>
      </c>
      <c r="D61" s="56">
        <v>3.0643363E-2</v>
      </c>
      <c r="E61" s="56">
        <f>B61+C61-D61</f>
        <v>0.19052912899999999</v>
      </c>
      <c r="F61" s="56">
        <f>E61</f>
        <v>0.19052912899999999</v>
      </c>
      <c r="G61" s="56">
        <f>IF(B61&gt;E61,F61,F61*(B61-D61)/E61)</f>
        <v>0.19052912899999999</v>
      </c>
      <c r="H61" s="61">
        <v>0.37</v>
      </c>
      <c r="I61" s="58">
        <f>F61*H61</f>
        <v>7.049577773E-2</v>
      </c>
      <c r="J61" s="58">
        <f>G61*H61</f>
        <v>7.049577773E-2</v>
      </c>
      <c r="K61" s="26"/>
      <c r="L61" s="26"/>
      <c r="M61" s="6">
        <f>+IF(H61&lt;15%,1,IF(H61&lt;30%,2,IF(H61&lt;50%,3,4)))</f>
        <v>3</v>
      </c>
      <c r="N61" s="52"/>
      <c r="O61" s="52"/>
      <c r="P61" s="52"/>
      <c r="Q61" s="52"/>
      <c r="R61" s="52"/>
      <c r="S61" s="52"/>
      <c r="T61" s="52"/>
      <c r="U61" s="52"/>
      <c r="V61" s="52"/>
      <c r="W61" s="52"/>
      <c r="X61" s="52"/>
      <c r="Y61" s="52"/>
      <c r="Z61" s="52"/>
      <c r="AA61" s="52"/>
      <c r="AB61" s="52"/>
    </row>
    <row r="62" spans="1:28" ht="12.75" customHeight="1" outlineLevel="2" x14ac:dyDescent="0.25">
      <c r="A62" s="20"/>
      <c r="B62" s="21"/>
      <c r="C62" s="21"/>
      <c r="D62" s="21"/>
      <c r="E62" s="21"/>
      <c r="F62" s="22"/>
      <c r="G62" s="22"/>
      <c r="H62" s="23"/>
      <c r="I62" s="24"/>
      <c r="J62" s="25"/>
      <c r="K62" s="26"/>
      <c r="L62" s="26"/>
      <c r="M62" s="6"/>
      <c r="N62" s="73"/>
      <c r="O62" s="73"/>
      <c r="P62" s="52"/>
      <c r="Q62" s="52"/>
      <c r="R62" s="52"/>
      <c r="S62" s="52"/>
      <c r="T62" s="52"/>
      <c r="U62" s="52"/>
      <c r="V62" s="52"/>
      <c r="W62" s="52"/>
      <c r="X62" s="52"/>
      <c r="Y62" s="52"/>
      <c r="Z62" s="52"/>
      <c r="AA62" s="52"/>
      <c r="AB62" s="52"/>
    </row>
    <row r="63" spans="1:28" ht="19.5" customHeight="1" outlineLevel="1" x14ac:dyDescent="0.25">
      <c r="A63" s="48" t="s">
        <v>49</v>
      </c>
      <c r="B63" s="49">
        <f t="shared" ref="B63:E63" si="12">SUM(B65:B72)</f>
        <v>31.471201699930379</v>
      </c>
      <c r="C63" s="49">
        <f t="shared" si="12"/>
        <v>3.7369760110000003</v>
      </c>
      <c r="D63" s="49">
        <f t="shared" si="12"/>
        <v>1.5621408450000001</v>
      </c>
      <c r="E63" s="49">
        <f t="shared" si="12"/>
        <v>33.646036865930377</v>
      </c>
      <c r="F63" s="49">
        <f>SUM(F65:F72)</f>
        <v>30.667984838777407</v>
      </c>
      <c r="G63" s="49">
        <f>SUM(G65:G72)</f>
        <v>28.710712045777406</v>
      </c>
      <c r="H63" s="50"/>
      <c r="I63" s="50">
        <f>SUM(I65:I72)</f>
        <v>4.7059098211988823</v>
      </c>
      <c r="J63" s="50">
        <f>SUM(J65:J72)</f>
        <v>4.4279687361438818</v>
      </c>
      <c r="K63" s="51">
        <f>IF(I63=0,0,J63/I63)</f>
        <v>0.94093786417178049</v>
      </c>
      <c r="L63" s="51">
        <f>+I63/$I$89</f>
        <v>6.455329166962516E-2</v>
      </c>
      <c r="M63" s="6"/>
      <c r="N63" s="52"/>
      <c r="O63" s="52"/>
      <c r="P63" s="52"/>
      <c r="Q63" s="52"/>
      <c r="R63" s="52"/>
      <c r="S63" s="52"/>
      <c r="T63" s="52"/>
      <c r="U63" s="52"/>
      <c r="V63" s="52"/>
      <c r="W63" s="52"/>
      <c r="X63" s="52"/>
      <c r="Y63" s="52"/>
      <c r="Z63" s="52"/>
      <c r="AA63" s="52"/>
      <c r="AB63" s="52"/>
    </row>
    <row r="64" spans="1:28" ht="15" customHeight="1" outlineLevel="2" x14ac:dyDescent="0.25">
      <c r="A64" s="20"/>
      <c r="B64" s="21"/>
      <c r="C64" s="21"/>
      <c r="D64" s="21"/>
      <c r="E64" s="21"/>
      <c r="F64" s="22"/>
      <c r="G64" s="22"/>
      <c r="H64" s="23"/>
      <c r="I64" s="24"/>
      <c r="J64" s="25"/>
      <c r="K64" s="26"/>
      <c r="L64" s="26"/>
      <c r="M64" s="6"/>
      <c r="N64" s="52"/>
      <c r="O64" s="52"/>
      <c r="P64" s="52"/>
      <c r="Q64" s="52"/>
      <c r="R64" s="52"/>
      <c r="S64" s="52"/>
      <c r="T64" s="52"/>
      <c r="U64" s="52"/>
      <c r="V64" s="52"/>
      <c r="W64" s="52"/>
      <c r="X64" s="52"/>
      <c r="Y64" s="52"/>
      <c r="Z64" s="52"/>
      <c r="AA64" s="52"/>
      <c r="AB64" s="52"/>
    </row>
    <row r="65" spans="1:28" ht="15" customHeight="1" outlineLevel="2" x14ac:dyDescent="0.25">
      <c r="A65" s="55" t="s">
        <v>50</v>
      </c>
      <c r="B65" s="56">
        <v>4.0731052651740409</v>
      </c>
      <c r="C65" s="56">
        <v>0.62024284699999999</v>
      </c>
      <c r="D65" s="56">
        <v>0.53469118400000004</v>
      </c>
      <c r="E65" s="56">
        <f t="shared" ref="E65:E67" si="13">B65+C65-D65</f>
        <v>4.1586569281740413</v>
      </c>
      <c r="F65" s="56">
        <f>E65</f>
        <v>4.1586569281740413</v>
      </c>
      <c r="G65" s="56">
        <f>+F65</f>
        <v>4.1586569281740413</v>
      </c>
      <c r="H65" s="63">
        <v>0.19</v>
      </c>
      <c r="I65" s="58">
        <f>F65*H65</f>
        <v>0.79014481635306788</v>
      </c>
      <c r="J65" s="58">
        <f>G65*H65</f>
        <v>0.79014481635306788</v>
      </c>
      <c r="K65" s="26"/>
      <c r="L65" s="26"/>
      <c r="M65" s="6">
        <f t="shared" ref="M65:M71" si="14">+IF(H65&lt;15%,1,IF(H65&lt;30%,2,IF(H65&lt;50%,3,4)))</f>
        <v>2</v>
      </c>
      <c r="N65" s="52"/>
      <c r="O65" s="52"/>
      <c r="P65" s="52"/>
      <c r="Q65" s="52"/>
      <c r="R65" s="52"/>
      <c r="S65" s="52"/>
      <c r="T65" s="52"/>
      <c r="U65" s="52"/>
      <c r="V65" s="52"/>
      <c r="W65" s="52"/>
      <c r="X65" s="52"/>
      <c r="Y65" s="52"/>
      <c r="Z65" s="52"/>
      <c r="AA65" s="52"/>
      <c r="AB65" s="52"/>
    </row>
    <row r="66" spans="1:28" ht="15.75" outlineLevel="2" x14ac:dyDescent="0.25">
      <c r="A66" s="55" t="s">
        <v>51</v>
      </c>
      <c r="B66" s="56">
        <v>1.0191872828679625</v>
      </c>
      <c r="C66" s="56"/>
      <c r="D66" s="56"/>
      <c r="E66" s="56">
        <f t="shared" si="13"/>
        <v>1.0191872828679625</v>
      </c>
      <c r="F66" s="56">
        <v>0.67855539242259355</v>
      </c>
      <c r="G66" s="56">
        <f>+F66</f>
        <v>0.67855539242259355</v>
      </c>
      <c r="H66" s="65">
        <v>0.73</v>
      </c>
      <c r="I66" s="58">
        <f>F66*H66</f>
        <v>0.49534543646849327</v>
      </c>
      <c r="J66" s="58">
        <f>G66*H66</f>
        <v>0.49534543646849327</v>
      </c>
      <c r="K66" s="26"/>
      <c r="L66" s="26"/>
      <c r="M66" s="6">
        <f t="shared" si="14"/>
        <v>4</v>
      </c>
      <c r="N66" s="52"/>
      <c r="O66" s="52"/>
      <c r="P66" s="52"/>
      <c r="Q66" s="52"/>
      <c r="R66" s="52"/>
      <c r="S66" s="52"/>
      <c r="T66" s="52"/>
      <c r="U66" s="52"/>
      <c r="V66" s="52"/>
      <c r="W66" s="52"/>
      <c r="X66" s="52"/>
      <c r="Y66" s="52"/>
      <c r="Z66" s="52"/>
      <c r="AA66" s="52"/>
      <c r="AB66" s="52"/>
    </row>
    <row r="67" spans="1:28" ht="29.25" customHeight="1" outlineLevel="2" x14ac:dyDescent="0.25">
      <c r="A67" s="66" t="s">
        <v>52</v>
      </c>
      <c r="B67" s="67">
        <f>'data from cereal masterfile'!F60*(F77*0.362+(1-F77)*0.276)</f>
        <v>4.0977335095492142</v>
      </c>
      <c r="C67" s="67">
        <v>0.65141055999999997</v>
      </c>
      <c r="D67" s="67">
        <v>0.38206365799999997</v>
      </c>
      <c r="E67" s="67">
        <f t="shared" si="13"/>
        <v>4.3670804115492139</v>
      </c>
      <c r="F67" s="67">
        <f>E67</f>
        <v>4.3670804115492139</v>
      </c>
      <c r="G67" s="67">
        <f>IF(B67&gt;E67,F67,F67*(B67-D67)/E67)</f>
        <v>3.7156698515492139</v>
      </c>
      <c r="H67" s="68" t="s">
        <v>53</v>
      </c>
      <c r="I67" s="69">
        <f>(B67-D67)*0.3+C67*0.27</f>
        <v>1.2905818066647643</v>
      </c>
      <c r="J67" s="69">
        <f>(B67-D67)*0.3</f>
        <v>1.1147009554647642</v>
      </c>
      <c r="K67" s="26"/>
      <c r="L67" s="26"/>
      <c r="M67" s="6">
        <v>2</v>
      </c>
      <c r="N67" s="52"/>
      <c r="O67" s="52"/>
      <c r="P67" s="52"/>
      <c r="Q67" s="52"/>
      <c r="R67" s="52"/>
      <c r="S67" s="52"/>
      <c r="T67" s="52"/>
      <c r="U67" s="52"/>
      <c r="V67" s="52"/>
      <c r="W67" s="52"/>
      <c r="X67" s="52"/>
      <c r="Y67" s="52"/>
      <c r="Z67" s="52"/>
      <c r="AA67" s="52"/>
      <c r="AB67" s="52"/>
    </row>
    <row r="68" spans="1:28" ht="15" customHeight="1" outlineLevel="2" x14ac:dyDescent="0.25">
      <c r="A68" s="55" t="s">
        <v>54</v>
      </c>
      <c r="B68" s="56">
        <v>5.9454065293000005</v>
      </c>
      <c r="C68" s="56"/>
      <c r="D68" s="56"/>
      <c r="E68" s="56">
        <f>+B68+C68-D68</f>
        <v>5.9454065293000005</v>
      </c>
      <c r="F68" s="56">
        <f>+E68</f>
        <v>5.9454065293000005</v>
      </c>
      <c r="G68" s="56">
        <f>+F68</f>
        <v>5.9454065293000005</v>
      </c>
      <c r="H68" s="57">
        <v>5.3999999999999999E-2</v>
      </c>
      <c r="I68" s="58">
        <f>+F68*$H$68</f>
        <v>0.32105195258220004</v>
      </c>
      <c r="J68" s="58">
        <f>+G68*$H$68</f>
        <v>0.32105195258220004</v>
      </c>
      <c r="K68" s="26"/>
      <c r="L68" s="26"/>
      <c r="M68" s="6">
        <f t="shared" si="14"/>
        <v>1</v>
      </c>
      <c r="N68" s="52"/>
      <c r="O68" s="52"/>
      <c r="P68" s="52"/>
      <c r="Q68" s="52"/>
      <c r="R68" s="52"/>
      <c r="S68" s="52"/>
      <c r="T68" s="52"/>
      <c r="U68" s="52"/>
      <c r="V68" s="52"/>
      <c r="W68" s="52"/>
      <c r="X68" s="52"/>
      <c r="Y68" s="52"/>
      <c r="Z68" s="52"/>
      <c r="AA68" s="52"/>
      <c r="AB68" s="52"/>
    </row>
    <row r="69" spans="1:28" ht="15" customHeight="1" outlineLevel="2" x14ac:dyDescent="0.25">
      <c r="A69" s="55" t="s">
        <v>55</v>
      </c>
      <c r="B69" s="56">
        <f>('data from cereal masterfile'!F63+'data from cereal masterfile'!F65)*0.15</f>
        <v>7.3821930373291575</v>
      </c>
      <c r="C69" s="56">
        <v>3.9336429999999999E-2</v>
      </c>
      <c r="D69" s="56">
        <v>0.19531575400000001</v>
      </c>
      <c r="E69" s="56">
        <f>B69+C69-D69</f>
        <v>7.2262137133291571</v>
      </c>
      <c r="F69" s="56">
        <f>E69</f>
        <v>7.2262137133291571</v>
      </c>
      <c r="G69" s="56">
        <f>IF(B69&gt;E69,F69,F69*(B69-D69)/E69)</f>
        <v>7.2262137133291571</v>
      </c>
      <c r="H69" s="71">
        <v>0.155</v>
      </c>
      <c r="I69" s="58">
        <f>F69*H69</f>
        <v>1.1200631255660194</v>
      </c>
      <c r="J69" s="58">
        <f>G69*H69</f>
        <v>1.1200631255660194</v>
      </c>
      <c r="K69" s="26"/>
      <c r="L69" s="26"/>
      <c r="M69" s="6">
        <f t="shared" si="14"/>
        <v>2</v>
      </c>
      <c r="N69" s="52"/>
      <c r="O69" s="52"/>
      <c r="P69" s="52"/>
      <c r="Q69" s="134"/>
      <c r="R69" s="52"/>
      <c r="S69" s="52"/>
      <c r="T69" s="52"/>
      <c r="U69" s="52"/>
      <c r="V69" s="52"/>
      <c r="W69" s="72"/>
      <c r="X69" s="73"/>
      <c r="Y69" s="73"/>
      <c r="Z69" s="73"/>
      <c r="AA69" s="74"/>
      <c r="AB69" s="74"/>
    </row>
    <row r="70" spans="1:28" ht="15.75" outlineLevel="2" x14ac:dyDescent="0.25">
      <c r="A70" s="55" t="s">
        <v>56</v>
      </c>
      <c r="B70" s="56">
        <v>0</v>
      </c>
      <c r="C70" s="56">
        <v>0.28823197300000003</v>
      </c>
      <c r="D70" s="56">
        <v>1.2511334999999998E-2</v>
      </c>
      <c r="E70" s="56">
        <f>B70+C70-D70</f>
        <v>0.27572063800000002</v>
      </c>
      <c r="F70" s="56">
        <f>E70</f>
        <v>0.27572063800000002</v>
      </c>
      <c r="G70" s="56">
        <f>IF(B70&gt;E70,F70,F70*B70/E70)</f>
        <v>0</v>
      </c>
      <c r="H70" s="57">
        <v>7.4999999999999997E-2</v>
      </c>
      <c r="I70" s="58">
        <f>F70*H70</f>
        <v>2.067904785E-2</v>
      </c>
      <c r="J70" s="58">
        <f>G70*H70</f>
        <v>0</v>
      </c>
      <c r="K70" s="26"/>
      <c r="L70" s="26"/>
      <c r="M70" s="6">
        <f t="shared" si="14"/>
        <v>1</v>
      </c>
      <c r="N70" s="52"/>
      <c r="O70" s="52"/>
      <c r="P70" s="52"/>
      <c r="Q70" s="134"/>
      <c r="R70" s="135"/>
      <c r="S70" s="52"/>
      <c r="T70" s="52"/>
      <c r="U70" s="52"/>
      <c r="V70" s="52"/>
      <c r="W70" s="72"/>
      <c r="X70" s="73"/>
      <c r="Y70" s="72"/>
      <c r="Z70" s="75"/>
      <c r="AA70" s="76"/>
      <c r="AB70" s="74"/>
    </row>
    <row r="71" spans="1:28" ht="15" customHeight="1" outlineLevel="2" x14ac:dyDescent="0.25">
      <c r="A71" s="55" t="s">
        <v>57</v>
      </c>
      <c r="B71" s="56">
        <v>5.9690507171400009</v>
      </c>
      <c r="C71" s="56">
        <v>1.0301415950000001</v>
      </c>
      <c r="D71" s="56">
        <v>0.22397997399999997</v>
      </c>
      <c r="E71" s="56">
        <f>B71+C71-D71</f>
        <v>6.7752123381400011</v>
      </c>
      <c r="F71" s="56">
        <f>E71</f>
        <v>6.7752123381400011</v>
      </c>
      <c r="G71" s="56">
        <f>IF(B71&gt;E71,F71,F71*(B71-D71)/E71)</f>
        <v>5.7450707431400003</v>
      </c>
      <c r="H71" s="57">
        <v>7.9000000000000001E-2</v>
      </c>
      <c r="I71" s="58">
        <f>F71*H71</f>
        <v>0.53524177471306011</v>
      </c>
      <c r="J71" s="58">
        <f>G71*H71</f>
        <v>0.45386058870806001</v>
      </c>
      <c r="K71" s="26"/>
      <c r="L71" s="26"/>
      <c r="M71" s="6">
        <f t="shared" si="14"/>
        <v>1</v>
      </c>
      <c r="N71" s="52"/>
      <c r="O71" s="52"/>
      <c r="P71" s="52"/>
      <c r="Q71" s="52"/>
      <c r="R71" s="52"/>
      <c r="S71" s="52"/>
      <c r="T71" s="52"/>
      <c r="U71" s="52"/>
      <c r="V71" s="52"/>
      <c r="W71" s="52"/>
      <c r="X71" s="52"/>
      <c r="Y71" s="52"/>
      <c r="Z71" s="52"/>
      <c r="AA71" s="52"/>
      <c r="AB71" s="52"/>
    </row>
    <row r="72" spans="1:28" ht="30" customHeight="1" outlineLevel="2" x14ac:dyDescent="0.25">
      <c r="A72" s="66" t="s">
        <v>58</v>
      </c>
      <c r="B72" s="67">
        <v>2.9845253585700005</v>
      </c>
      <c r="C72" s="67">
        <v>1.1076126059999998</v>
      </c>
      <c r="D72" s="67">
        <v>0.21357894000000002</v>
      </c>
      <c r="E72" s="67">
        <f>B72+C72-D72</f>
        <v>3.8785590245699999</v>
      </c>
      <c r="F72" s="67">
        <f>E72*0.32</f>
        <v>1.2411388878623999</v>
      </c>
      <c r="G72" s="67">
        <f>+IF(B72&gt;F72,F72,B72-D72)</f>
        <v>1.2411388878623999</v>
      </c>
      <c r="H72" s="77" t="s">
        <v>95</v>
      </c>
      <c r="I72" s="69">
        <f>G72*0.107+(F72-G72)*0.042</f>
        <v>0.13280186100127678</v>
      </c>
      <c r="J72" s="69">
        <f>G72*0.107</f>
        <v>0.13280186100127678</v>
      </c>
      <c r="K72" s="26"/>
      <c r="L72" s="26"/>
      <c r="M72" s="6">
        <v>1</v>
      </c>
      <c r="N72" s="52"/>
      <c r="O72" s="52"/>
      <c r="P72" s="52"/>
      <c r="Q72" s="52"/>
      <c r="R72" s="52"/>
      <c r="S72" s="52"/>
      <c r="T72" s="52"/>
      <c r="U72" s="52"/>
      <c r="V72" s="52"/>
      <c r="W72" s="52"/>
      <c r="X72" s="52"/>
      <c r="Y72" s="52"/>
      <c r="Z72" s="52"/>
      <c r="AA72" s="52"/>
      <c r="AB72" s="52"/>
    </row>
    <row r="73" spans="1:28" ht="12.75" customHeight="1" x14ac:dyDescent="0.25">
      <c r="A73" s="20"/>
      <c r="B73" s="21"/>
      <c r="C73" s="21"/>
      <c r="D73" s="21"/>
      <c r="E73" s="21"/>
      <c r="F73" s="22"/>
      <c r="G73" s="22"/>
      <c r="H73" s="23"/>
      <c r="I73" s="24"/>
      <c r="J73" s="25"/>
      <c r="K73" s="26"/>
      <c r="L73" s="26"/>
      <c r="M73" s="6"/>
      <c r="N73" s="52"/>
      <c r="O73" s="52"/>
      <c r="P73" s="52"/>
      <c r="Q73" s="52"/>
      <c r="R73" s="52"/>
      <c r="S73" s="52"/>
      <c r="T73" s="52"/>
      <c r="U73" s="52"/>
      <c r="V73" s="52"/>
      <c r="W73" s="52"/>
      <c r="X73" s="52"/>
      <c r="Y73" s="52"/>
      <c r="Z73" s="52"/>
      <c r="AA73" s="52"/>
      <c r="AB73" s="52"/>
    </row>
    <row r="74" spans="1:28" ht="36.75" customHeight="1" x14ac:dyDescent="0.25">
      <c r="A74" s="27" t="s">
        <v>60</v>
      </c>
      <c r="B74" s="28"/>
      <c r="C74" s="28"/>
      <c r="D74" s="28"/>
      <c r="E74" s="28"/>
      <c r="F74" s="29">
        <f>SUM(F76:F80)</f>
        <v>6.2079955573600234</v>
      </c>
      <c r="G74" s="29">
        <f>SUM(G76:G80)</f>
        <v>6.0164915593600234</v>
      </c>
      <c r="H74" s="30"/>
      <c r="I74" s="30">
        <f>SUM(I76:I80)</f>
        <v>1.8002359166812951</v>
      </c>
      <c r="J74" s="30">
        <f>SUM(J76:J80)</f>
        <v>1.6792232414812949</v>
      </c>
      <c r="K74" s="31">
        <f>IF(I74=0,0,J74/I74)</f>
        <v>0.93277954623687043</v>
      </c>
      <c r="L74" s="31">
        <f>+I74/$I$89</f>
        <v>2.4694726125044312E-2</v>
      </c>
      <c r="M74" s="6"/>
      <c r="N74" s="52"/>
      <c r="O74" s="52"/>
      <c r="P74" s="52"/>
      <c r="Q74" s="52"/>
      <c r="R74" s="52"/>
      <c r="S74" s="52"/>
      <c r="T74" s="52"/>
      <c r="U74" s="52"/>
      <c r="V74" s="52"/>
      <c r="W74" s="52"/>
      <c r="X74" s="52"/>
      <c r="Y74" s="52"/>
      <c r="Z74" s="52"/>
      <c r="AA74" s="52"/>
      <c r="AB74" s="52"/>
    </row>
    <row r="75" spans="1:28" ht="15" customHeight="1" outlineLevel="1" x14ac:dyDescent="0.25">
      <c r="A75" s="20" t="s">
        <v>61</v>
      </c>
      <c r="B75" s="21"/>
      <c r="C75" s="21"/>
      <c r="D75" s="21"/>
      <c r="E75" s="21"/>
      <c r="F75" s="22"/>
      <c r="G75" s="22"/>
      <c r="H75" s="23"/>
      <c r="I75" s="24"/>
      <c r="J75" s="25"/>
      <c r="K75" s="26"/>
      <c r="L75" s="26"/>
      <c r="M75" s="6"/>
      <c r="N75" s="52"/>
      <c r="O75" s="52"/>
      <c r="P75" s="52"/>
      <c r="Q75" s="52"/>
      <c r="R75" s="52"/>
      <c r="S75" s="52"/>
      <c r="T75" s="52"/>
      <c r="U75" s="52"/>
      <c r="V75" s="52"/>
      <c r="W75" s="52"/>
      <c r="X75" s="52"/>
      <c r="Y75" s="52"/>
      <c r="Z75" s="52"/>
      <c r="AA75" s="52"/>
      <c r="AB75" s="52"/>
    </row>
    <row r="76" spans="1:28" ht="15" customHeight="1" outlineLevel="1" x14ac:dyDescent="0.25">
      <c r="A76" s="55" t="s">
        <v>96</v>
      </c>
      <c r="B76" s="56">
        <v>0.41699999999999998</v>
      </c>
      <c r="C76" s="56">
        <v>0.26702680499999998</v>
      </c>
      <c r="D76" s="56">
        <v>0.20385330700000004</v>
      </c>
      <c r="E76" s="56">
        <f>B76+C76-D76</f>
        <v>0.48017349799999998</v>
      </c>
      <c r="F76" s="56">
        <f>E76</f>
        <v>0.48017349799999998</v>
      </c>
      <c r="G76" s="56">
        <f>IF(B76&gt;E76,F76,F76*B76/E76)</f>
        <v>0.41699999999999998</v>
      </c>
      <c r="H76" s="65">
        <v>0.65</v>
      </c>
      <c r="I76" s="58">
        <f>F76*H76</f>
        <v>0.31211277370000001</v>
      </c>
      <c r="J76" s="58">
        <f>G76*H76</f>
        <v>0.27105000000000001</v>
      </c>
      <c r="K76" s="26"/>
      <c r="L76" s="26"/>
      <c r="M76" s="6">
        <f>+IF(H76&lt;15%,1,IF(H76&lt;30%,2,IF(H76&lt;50%,3,4)))</f>
        <v>4</v>
      </c>
      <c r="N76" s="52"/>
      <c r="O76" s="52"/>
      <c r="P76" s="52"/>
      <c r="Q76" s="52"/>
      <c r="R76" s="52"/>
      <c r="S76" s="52"/>
      <c r="T76" s="52"/>
      <c r="U76" s="52"/>
      <c r="V76" s="52"/>
      <c r="W76" s="52"/>
      <c r="X76" s="52"/>
      <c r="Y76" s="52"/>
      <c r="Z76" s="52"/>
      <c r="AA76" s="52"/>
      <c r="AB76" s="52"/>
    </row>
    <row r="77" spans="1:28" ht="15.75" outlineLevel="1" x14ac:dyDescent="0.25">
      <c r="A77" s="55" t="s">
        <v>97</v>
      </c>
      <c r="B77" s="56">
        <v>1.8284412043558149</v>
      </c>
      <c r="C77" s="56">
        <v>0.14605243200000001</v>
      </c>
      <c r="D77" s="56">
        <v>0.65827279999999999</v>
      </c>
      <c r="E77" s="56">
        <f>B77+C77-D77</f>
        <v>1.316220836355815</v>
      </c>
      <c r="F77" s="56">
        <v>0.9</v>
      </c>
      <c r="G77" s="56">
        <v>0.9</v>
      </c>
      <c r="H77" s="57">
        <v>0.125</v>
      </c>
      <c r="I77" s="58">
        <f>F77*H77</f>
        <v>0.1125</v>
      </c>
      <c r="J77" s="58">
        <f>G77*H77</f>
        <v>0.1125</v>
      </c>
      <c r="K77" s="26"/>
      <c r="L77" s="26"/>
      <c r="M77" s="6">
        <f>+IF(H77&lt;15%,1,IF(H77&lt;30%,2,IF(H77&lt;50%,3,4)))</f>
        <v>1</v>
      </c>
      <c r="N77" s="52"/>
      <c r="O77" s="52"/>
      <c r="P77" s="52"/>
      <c r="Q77" s="52"/>
      <c r="R77" s="52"/>
      <c r="S77" s="52"/>
      <c r="T77" s="52"/>
      <c r="U77" s="52"/>
      <c r="V77" s="52"/>
      <c r="W77" s="52"/>
      <c r="X77" s="52"/>
      <c r="Y77" s="52"/>
      <c r="Z77" s="52"/>
      <c r="AA77" s="52"/>
      <c r="AB77" s="52"/>
    </row>
    <row r="78" spans="1:28" ht="15" customHeight="1" outlineLevel="1" x14ac:dyDescent="0.25">
      <c r="A78" s="55" t="s">
        <v>98</v>
      </c>
      <c r="B78" s="56">
        <v>1.4545581119500985</v>
      </c>
      <c r="C78" s="56">
        <v>5.0377209999999999E-2</v>
      </c>
      <c r="D78" s="56">
        <v>0.65329774799999996</v>
      </c>
      <c r="E78" s="56">
        <f>B78+C78-D78</f>
        <v>0.85163757395009854</v>
      </c>
      <c r="F78" s="56">
        <v>0.17</v>
      </c>
      <c r="G78" s="56">
        <f>+F78</f>
        <v>0.17</v>
      </c>
      <c r="H78" s="61">
        <v>0.34</v>
      </c>
      <c r="I78" s="58">
        <f>F78*H78</f>
        <v>5.7800000000000011E-2</v>
      </c>
      <c r="J78" s="58">
        <f>G78*H78</f>
        <v>5.7800000000000011E-2</v>
      </c>
      <c r="K78" s="26"/>
      <c r="L78" s="26"/>
      <c r="M78" s="6">
        <f>+IF(H78&lt;15%,1,IF(H78&lt;30%,2,IF(H78&lt;50%,3,4)))</f>
        <v>3</v>
      </c>
      <c r="N78" s="52"/>
      <c r="O78" s="52"/>
      <c r="P78" s="52"/>
      <c r="Q78" s="52"/>
      <c r="R78" s="52"/>
      <c r="S78" s="52"/>
      <c r="T78" s="52"/>
      <c r="U78" s="52"/>
      <c r="V78" s="52"/>
      <c r="W78" s="52"/>
      <c r="X78" s="52"/>
      <c r="Y78" s="52"/>
      <c r="Z78" s="52"/>
      <c r="AA78" s="52"/>
      <c r="AB78" s="52"/>
    </row>
    <row r="79" spans="1:28" ht="15" customHeight="1" outlineLevel="1" x14ac:dyDescent="0.25">
      <c r="A79" s="55" t="s">
        <v>99</v>
      </c>
      <c r="B79" s="56">
        <v>2.3262399377211977</v>
      </c>
      <c r="C79" s="56">
        <v>0.12833044099999999</v>
      </c>
      <c r="D79" s="56">
        <v>0.86990573599999998</v>
      </c>
      <c r="E79" s="56">
        <v>2.1115951705394722</v>
      </c>
      <c r="F79" s="56">
        <v>1.6578220593600237</v>
      </c>
      <c r="G79" s="56">
        <v>1.5294915593600238</v>
      </c>
      <c r="H79" s="65">
        <v>0.623</v>
      </c>
      <c r="I79" s="58">
        <f>F79*H79</f>
        <v>1.0328231429812949</v>
      </c>
      <c r="J79" s="58">
        <f>G79*H79</f>
        <v>0.95287324148129482</v>
      </c>
      <c r="K79" s="78"/>
      <c r="L79" s="78"/>
      <c r="M79" s="6">
        <f>+IF(H79&lt;15%,1,IF(H79&lt;30%,2,IF(H79&lt;50%,3,4)))</f>
        <v>4</v>
      </c>
      <c r="N79" s="52"/>
      <c r="O79" s="52"/>
      <c r="P79" s="52"/>
      <c r="Q79" s="52"/>
      <c r="R79" s="52"/>
      <c r="S79" s="52"/>
      <c r="T79" s="52"/>
      <c r="U79" s="52"/>
      <c r="V79" s="52"/>
      <c r="W79" s="52"/>
      <c r="X79" s="52"/>
      <c r="Y79" s="52"/>
      <c r="Z79" s="52"/>
      <c r="AA79" s="52"/>
      <c r="AB79" s="52"/>
    </row>
    <row r="80" spans="1:28" ht="15" customHeight="1" outlineLevel="1" x14ac:dyDescent="0.25">
      <c r="A80" s="55" t="s">
        <v>100</v>
      </c>
      <c r="B80" s="79"/>
      <c r="C80" s="79"/>
      <c r="D80" s="79"/>
      <c r="E80" s="79"/>
      <c r="F80" s="79">
        <v>3</v>
      </c>
      <c r="G80" s="79">
        <v>3</v>
      </c>
      <c r="H80" s="57">
        <f>0.095</f>
        <v>9.5000000000000001E-2</v>
      </c>
      <c r="I80" s="58">
        <f>F80*H80</f>
        <v>0.28500000000000003</v>
      </c>
      <c r="J80" s="58">
        <f>G80*H80</f>
        <v>0.28500000000000003</v>
      </c>
      <c r="K80" s="26"/>
      <c r="L80" s="26"/>
      <c r="M80" s="6">
        <f>+IF(H80&lt;15%,1,IF(H80&lt;30%,2,IF(H80&lt;50%,3,4)))</f>
        <v>1</v>
      </c>
    </row>
    <row r="81" spans="1:28" ht="12.75" customHeight="1" x14ac:dyDescent="0.25">
      <c r="A81" s="80"/>
      <c r="B81" s="24"/>
      <c r="C81" s="24"/>
      <c r="D81" s="24"/>
      <c r="E81" s="24"/>
      <c r="F81" s="25"/>
      <c r="G81" s="25"/>
      <c r="H81" s="81"/>
      <c r="I81" s="24"/>
      <c r="J81" s="25"/>
      <c r="K81" s="26"/>
      <c r="L81" s="26"/>
      <c r="M81" s="6"/>
    </row>
    <row r="82" spans="1:28" ht="35.25" customHeight="1" x14ac:dyDescent="0.25">
      <c r="A82" s="27" t="s">
        <v>67</v>
      </c>
      <c r="B82" s="28"/>
      <c r="C82" s="28"/>
      <c r="D82" s="28"/>
      <c r="E82" s="28"/>
      <c r="F82" s="82">
        <f>SUM(F84:F87)</f>
        <v>945.49207828385727</v>
      </c>
      <c r="G82" s="82">
        <f>SUM(G84:G87)</f>
        <v>945.49207828385727</v>
      </c>
      <c r="H82" s="30"/>
      <c r="I82" s="82">
        <f>SUM(I84:I87)</f>
        <v>29.606584069037453</v>
      </c>
      <c r="J82" s="82">
        <f>SUM(J84:J87)</f>
        <v>29.606584069037453</v>
      </c>
      <c r="K82" s="31">
        <f>IF(I82=0,0,J82/I82)</f>
        <v>1</v>
      </c>
      <c r="L82" s="31">
        <f>+I82/$I$89</f>
        <v>0.40612815148738918</v>
      </c>
      <c r="M82" s="6"/>
    </row>
    <row r="83" spans="1:28" ht="15" customHeight="1" outlineLevel="1" x14ac:dyDescent="0.25">
      <c r="A83" s="83"/>
      <c r="B83" s="84"/>
      <c r="C83" s="84"/>
      <c r="D83" s="84"/>
      <c r="E83" s="84"/>
      <c r="F83" s="85"/>
      <c r="G83" s="85"/>
      <c r="H83" s="86"/>
      <c r="I83" s="87"/>
      <c r="J83" s="88"/>
      <c r="K83" s="89"/>
      <c r="L83" s="90"/>
      <c r="M83" s="6"/>
    </row>
    <row r="84" spans="1:28" ht="15" customHeight="1" outlineLevel="1" x14ac:dyDescent="0.25">
      <c r="A84" s="55" t="s">
        <v>68</v>
      </c>
      <c r="B84" s="79">
        <v>636.27154205019121</v>
      </c>
      <c r="C84" s="79"/>
      <c r="D84" s="79"/>
      <c r="E84" s="79">
        <f>+B84+C84-D84</f>
        <v>636.27154205019121</v>
      </c>
      <c r="F84" s="79">
        <f t="shared" ref="F84:G86" si="15">+E84</f>
        <v>636.27154205019121</v>
      </c>
      <c r="G84" s="79">
        <f t="shared" si="15"/>
        <v>636.27154205019121</v>
      </c>
      <c r="H84" s="57">
        <v>2.6066712037040814E-2</v>
      </c>
      <c r="I84" s="79">
        <f>+F84*H84</f>
        <v>16.585507063986238</v>
      </c>
      <c r="J84" s="79">
        <f>+H84*G84</f>
        <v>16.585507063986238</v>
      </c>
      <c r="K84" s="93"/>
      <c r="L84" s="93"/>
      <c r="M84" s="6">
        <f>+IF(H84&lt;15%,1,IF(H84&lt;30%,2,IF(H84&lt;50%,3,4)))</f>
        <v>1</v>
      </c>
    </row>
    <row r="85" spans="1:28" s="96" customFormat="1" ht="15" customHeight="1" outlineLevel="1" x14ac:dyDescent="0.2">
      <c r="A85" s="55" t="s">
        <v>69</v>
      </c>
      <c r="B85" s="79">
        <v>220.48084</v>
      </c>
      <c r="C85" s="79"/>
      <c r="D85" s="79"/>
      <c r="E85" s="79">
        <f>+B85+C85-D85</f>
        <v>220.48084</v>
      </c>
      <c r="F85" s="79">
        <f t="shared" si="15"/>
        <v>220.48084</v>
      </c>
      <c r="G85" s="79">
        <f t="shared" si="15"/>
        <v>220.48084</v>
      </c>
      <c r="H85" s="57">
        <v>2.9487499999999996E-2</v>
      </c>
      <c r="I85" s="79">
        <f>+F85*H85</f>
        <v>6.5014287694999995</v>
      </c>
      <c r="J85" s="79">
        <f>+H85*G85</f>
        <v>6.5014287694999995</v>
      </c>
      <c r="K85" s="94"/>
      <c r="L85" s="94"/>
      <c r="M85" s="6">
        <f>+IF(H85&lt;15%,1,IF(H85&lt;30%,2,IF(H85&lt;50%,3,4)))</f>
        <v>1</v>
      </c>
      <c r="N85" s="95"/>
      <c r="O85" s="95"/>
      <c r="P85" s="95"/>
      <c r="Q85" s="95"/>
      <c r="R85" s="95"/>
      <c r="S85" s="95"/>
      <c r="T85" s="95"/>
      <c r="U85" s="95"/>
      <c r="V85" s="95"/>
      <c r="W85" s="95"/>
      <c r="X85" s="95"/>
      <c r="Y85" s="95"/>
      <c r="Z85" s="95"/>
      <c r="AA85" s="95"/>
      <c r="AB85" s="95"/>
    </row>
    <row r="86" spans="1:28" ht="15" customHeight="1" outlineLevel="1" x14ac:dyDescent="0.25">
      <c r="A86" s="55" t="s">
        <v>70</v>
      </c>
      <c r="B86" s="79">
        <v>87.498469092665971</v>
      </c>
      <c r="C86" s="79"/>
      <c r="D86" s="79"/>
      <c r="E86" s="79">
        <f>+B86+C86-D86</f>
        <v>87.498469092665971</v>
      </c>
      <c r="F86" s="79">
        <f t="shared" si="15"/>
        <v>87.498469092665971</v>
      </c>
      <c r="G86" s="79">
        <f t="shared" si="15"/>
        <v>87.498469092665971</v>
      </c>
      <c r="H86" s="57">
        <v>7.2099999999999997E-2</v>
      </c>
      <c r="I86" s="79">
        <f>+F86*H86</f>
        <v>6.3086396215812162</v>
      </c>
      <c r="J86" s="79">
        <f>+H86*G86</f>
        <v>6.3086396215812162</v>
      </c>
      <c r="K86" s="94"/>
      <c r="L86" s="94"/>
      <c r="M86" s="6">
        <f>+IF(H86&lt;15%,1,IF(H86&lt;30%,2,IF(H86&lt;50%,3,4)))</f>
        <v>1</v>
      </c>
    </row>
    <row r="87" spans="1:28" s="136" customFormat="1" ht="14.25" customHeight="1" outlineLevel="1" x14ac:dyDescent="0.2">
      <c r="A87" s="55" t="s">
        <v>101</v>
      </c>
      <c r="B87" s="56">
        <v>3.1109999999999998</v>
      </c>
      <c r="C87" s="56">
        <v>1.5882684000000001E-2</v>
      </c>
      <c r="D87" s="56">
        <v>1.8856555429999999</v>
      </c>
      <c r="E87" s="56">
        <f>B87+C87-D87</f>
        <v>1.241227141</v>
      </c>
      <c r="F87" s="56">
        <f>E87</f>
        <v>1.241227141</v>
      </c>
      <c r="G87" s="56">
        <f>IF(B87&gt;E87,F87,F87*B87/E87)</f>
        <v>1.241227141</v>
      </c>
      <c r="H87" s="71">
        <v>0.17</v>
      </c>
      <c r="I87" s="56">
        <f>F87*H87</f>
        <v>0.21100861397000001</v>
      </c>
      <c r="J87" s="56">
        <f>G87*H87</f>
        <v>0.21100861397000001</v>
      </c>
      <c r="K87" s="94"/>
      <c r="L87" s="94"/>
      <c r="M87" s="6">
        <f>+IF(H87&lt;15%,1,IF(H87&lt;30%,2,IF(H87&lt;50%,3,4)))</f>
        <v>2</v>
      </c>
    </row>
    <row r="88" spans="1:28" ht="12.75" customHeight="1" x14ac:dyDescent="0.25">
      <c r="A88" s="80"/>
      <c r="B88" s="21"/>
      <c r="C88" s="21"/>
      <c r="D88" s="21"/>
      <c r="E88" s="21"/>
      <c r="F88" s="22"/>
      <c r="G88" s="22"/>
      <c r="H88" s="23"/>
      <c r="I88" s="24"/>
      <c r="J88" s="25"/>
      <c r="K88" s="26"/>
      <c r="L88" s="26"/>
      <c r="M88" s="6"/>
    </row>
    <row r="89" spans="1:28" ht="36.75" customHeight="1" x14ac:dyDescent="0.25">
      <c r="A89" s="27" t="s">
        <v>72</v>
      </c>
      <c r="B89" s="28"/>
      <c r="C89" s="28"/>
      <c r="D89" s="28"/>
      <c r="E89" s="28"/>
      <c r="F89" s="82"/>
      <c r="G89" s="82"/>
      <c r="H89" s="30"/>
      <c r="I89" s="82">
        <f>+I74+I82+I34+I6</f>
        <v>72.899610530832106</v>
      </c>
      <c r="J89" s="82">
        <f>+J74+J82+J34+J6</f>
        <v>55.694304091593892</v>
      </c>
      <c r="K89" s="31">
        <f>IF(I89=0,0,J89/I89)</f>
        <v>0.76398630508510856</v>
      </c>
      <c r="L89" s="31"/>
      <c r="M89" s="6"/>
    </row>
    <row r="90" spans="1:28" x14ac:dyDescent="0.25">
      <c r="A90" s="97" t="s">
        <v>73</v>
      </c>
      <c r="B90" s="98"/>
      <c r="C90" s="98"/>
      <c r="D90" s="98"/>
      <c r="E90" s="98"/>
      <c r="F90" s="98"/>
      <c r="G90" s="98"/>
      <c r="H90" s="99"/>
      <c r="I90" s="5"/>
      <c r="J90" s="5"/>
      <c r="K90" s="5"/>
      <c r="L90" s="5"/>
      <c r="M90" s="6"/>
    </row>
    <row r="91" spans="1:28" x14ac:dyDescent="0.25">
      <c r="A91" s="100" t="s">
        <v>74</v>
      </c>
      <c r="B91" s="101"/>
      <c r="C91" s="102"/>
      <c r="D91" s="102"/>
      <c r="E91" s="103"/>
      <c r="F91" s="103"/>
      <c r="G91" s="103"/>
      <c r="H91" s="104">
        <v>1</v>
      </c>
      <c r="I91" s="105">
        <f t="shared" ref="I91:J94" si="16">+SUMIF($M$7:$M$89,$H91,I$7:I$89)</f>
        <v>46.566691187614751</v>
      </c>
      <c r="J91" s="105">
        <f t="shared" si="16"/>
        <v>44.842521270379486</v>
      </c>
      <c r="K91" s="106">
        <f>+J91/I91</f>
        <v>0.96297418018624781</v>
      </c>
      <c r="L91" s="5"/>
      <c r="M91" s="6"/>
    </row>
    <row r="92" spans="1:28" x14ac:dyDescent="0.25">
      <c r="A92" s="107" t="s">
        <v>75</v>
      </c>
      <c r="B92" s="108"/>
      <c r="C92" s="109"/>
      <c r="D92" s="109"/>
      <c r="E92" s="110"/>
      <c r="F92" s="110"/>
      <c r="G92" s="110"/>
      <c r="H92" s="111">
        <v>2</v>
      </c>
      <c r="I92" s="112">
        <f t="shared" si="16"/>
        <v>4.3657451076420948</v>
      </c>
      <c r="J92" s="112">
        <f t="shared" si="16"/>
        <v>3.7897856677227342</v>
      </c>
      <c r="K92" s="113">
        <f>+J92/I92</f>
        <v>0.86807304922333595</v>
      </c>
      <c r="L92" s="5"/>
      <c r="M92" s="6"/>
    </row>
    <row r="93" spans="1:28" x14ac:dyDescent="0.25">
      <c r="A93" s="114" t="s">
        <v>76</v>
      </c>
      <c r="B93" s="110"/>
      <c r="C93" s="110"/>
      <c r="D93" s="110"/>
      <c r="E93" s="110"/>
      <c r="F93" s="110"/>
      <c r="G93" s="110"/>
      <c r="H93" s="115">
        <v>3</v>
      </c>
      <c r="I93" s="112">
        <f t="shared" si="16"/>
        <v>19.939392882425476</v>
      </c>
      <c r="J93" s="112">
        <f t="shared" si="16"/>
        <v>5.3427284755418869</v>
      </c>
      <c r="K93" s="113">
        <f>+J93/I93</f>
        <v>0.26794840279469856</v>
      </c>
      <c r="L93" s="5"/>
      <c r="M93" s="6"/>
    </row>
    <row r="94" spans="1:28" x14ac:dyDescent="0.25">
      <c r="A94" s="116" t="s">
        <v>77</v>
      </c>
      <c r="B94" s="117"/>
      <c r="C94" s="117"/>
      <c r="D94" s="117"/>
      <c r="E94" s="117"/>
      <c r="F94" s="117"/>
      <c r="G94" s="117"/>
      <c r="H94" s="118">
        <v>4</v>
      </c>
      <c r="I94" s="119">
        <f t="shared" si="16"/>
        <v>2.0277813531497881</v>
      </c>
      <c r="J94" s="119">
        <f t="shared" si="16"/>
        <v>1.7192686779497881</v>
      </c>
      <c r="K94" s="120">
        <f>+J94/I94</f>
        <v>0.84785703117311839</v>
      </c>
      <c r="L94" s="5"/>
      <c r="M94" s="6"/>
    </row>
    <row r="95" spans="1:28" ht="25.5" customHeight="1" x14ac:dyDescent="0.25">
      <c r="A95" s="303" t="s">
        <v>78</v>
      </c>
      <c r="B95" s="304"/>
      <c r="C95" s="304"/>
      <c r="D95" s="304"/>
      <c r="E95" s="304"/>
      <c r="F95" s="304"/>
      <c r="G95" s="304"/>
      <c r="H95" s="304"/>
      <c r="I95" s="304"/>
      <c r="J95" s="304"/>
      <c r="K95" s="304"/>
      <c r="L95" s="304"/>
      <c r="M95" s="6"/>
    </row>
    <row r="96" spans="1:28" x14ac:dyDescent="0.25">
      <c r="A96" s="5"/>
      <c r="B96" s="98"/>
      <c r="C96" s="98"/>
      <c r="D96" s="98"/>
      <c r="E96" s="98"/>
      <c r="F96" s="98"/>
      <c r="G96" s="98"/>
      <c r="H96" s="99"/>
      <c r="I96" s="5"/>
      <c r="J96" s="5"/>
      <c r="K96" s="5"/>
      <c r="L96" s="5"/>
      <c r="M96" s="6"/>
    </row>
  </sheetData>
  <mergeCells count="4">
    <mergeCell ref="B3:G3"/>
    <mergeCell ref="H3:H4"/>
    <mergeCell ref="I3:J3"/>
    <mergeCell ref="A95:L9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Explanatory Note</vt:lpstr>
      <vt:lpstr>2022-23</vt:lpstr>
      <vt:lpstr>2021-22</vt:lpstr>
      <vt:lpstr>2020-21</vt:lpstr>
      <vt:lpstr>2019-20</vt:lpstr>
      <vt:lpstr>2018-19</vt:lpstr>
      <vt:lpstr>2017-18</vt:lpstr>
      <vt:lpstr>2016-17</vt:lpstr>
      <vt:lpstr>2015-16</vt:lpstr>
      <vt:lpstr>2014-15</vt:lpstr>
      <vt:lpstr>2013-14</vt:lpstr>
      <vt:lpstr>2012-13</vt:lpstr>
      <vt:lpstr>2011-12</vt:lpstr>
      <vt:lpstr>methodology</vt:lpstr>
      <vt:lpstr>Updates</vt:lpstr>
      <vt:lpstr>data from oilseed masterfile</vt:lpstr>
      <vt:lpstr>data from cereal masterfile</vt:lpstr>
      <vt:lpstr>data from protein balance sheet</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MERCIER Laurent (AGRI)</dc:creator>
  <cp:lastModifiedBy>MERCIER Laurent (AGRI)</cp:lastModifiedBy>
  <dcterms:created xsi:type="dcterms:W3CDTF">2021-07-13T13:28:43Z</dcterms:created>
  <dcterms:modified xsi:type="dcterms:W3CDTF">2022-11-25T08:38:13Z</dcterms:modified>
</cp:coreProperties>
</file>