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6430" yWindow="-15" windowWidth="6675" windowHeight="7365" activeTab="12"/>
  </bookViews>
  <sheets>
    <sheet name="BE" sheetId="67" r:id="rId1"/>
    <sheet name="BG" sheetId="52" r:id="rId2"/>
    <sheet name="CZ" sheetId="54" r:id="rId3"/>
    <sheet name="DK" sheetId="59" r:id="rId4"/>
    <sheet name="DE" sheetId="65" r:id="rId5"/>
    <sheet name="IE" sheetId="63" r:id="rId6"/>
    <sheet name="ES" sheetId="61" r:id="rId7"/>
    <sheet name="FR" sheetId="55" r:id="rId8"/>
    <sheet name="HR" sheetId="56" r:id="rId9"/>
    <sheet name="IT" sheetId="66" r:id="rId10"/>
    <sheet name="HU" sheetId="62" r:id="rId11"/>
    <sheet name="AT" sheetId="51" r:id="rId12"/>
    <sheet name="PL" sheetId="69" r:id="rId13"/>
    <sheet name="PT" sheetId="60" r:id="rId14"/>
    <sheet name="SI" sheetId="58" r:id="rId15"/>
    <sheet name="FI" sheetId="64" r:id="rId16"/>
    <sheet name="SE" sheetId="57" r:id="rId17"/>
    <sheet name="UK" sheetId="68" r:id="rId18"/>
    <sheet name="Sheet1" sheetId="28" r:id="rId19"/>
  </sheets>
  <definedNames>
    <definedName name="EUR">#REF!</definedName>
    <definedName name="_xlnm.Print_Area" localSheetId="11">AT!$A$1:$AB$50</definedName>
    <definedName name="_xlnm.Print_Area" localSheetId="0">BE!$A$1:$AB$50</definedName>
    <definedName name="_xlnm.Print_Area" localSheetId="1">BG!$A$1:$AB$50</definedName>
    <definedName name="_xlnm.Print_Area" localSheetId="2">CZ!$A$1:$AB$50</definedName>
    <definedName name="_xlnm.Print_Area" localSheetId="4">DE!$A$1:$AB$50</definedName>
    <definedName name="_xlnm.Print_Area" localSheetId="3">DK!$A$1:$AB$50</definedName>
    <definedName name="_xlnm.Print_Area" localSheetId="6">ES!$A$1:$AB$50</definedName>
    <definedName name="_xlnm.Print_Area" localSheetId="15">FI!$A$1:$AB$50</definedName>
    <definedName name="_xlnm.Print_Area" localSheetId="7">FR!$A$1:$AB$50</definedName>
    <definedName name="_xlnm.Print_Area" localSheetId="8">HR!$A$1:$AB$50</definedName>
    <definedName name="_xlnm.Print_Area" localSheetId="10">HU!$A$1:$AB$50</definedName>
    <definedName name="_xlnm.Print_Area" localSheetId="5">IE!$A$1:$AB$50</definedName>
    <definedName name="_xlnm.Print_Area" localSheetId="12">PL!$A$1:$AB$50</definedName>
    <definedName name="_xlnm.Print_Area" localSheetId="13">PT!$A$1:$AB$50</definedName>
    <definedName name="_xlnm.Print_Area" localSheetId="16">SE!$A$1:$AB$50</definedName>
    <definedName name="_xlnm.Print_Area" localSheetId="14">SI!$A$1:$AB$50</definedName>
    <definedName name="_xlnm.Print_Area" localSheetId="17">UK!$A$1:$AB$50</definedName>
  </definedNames>
  <calcPr calcId="145621"/>
</workbook>
</file>

<file path=xl/calcChain.xml><?xml version="1.0" encoding="utf-8"?>
<calcChain xmlns="http://schemas.openxmlformats.org/spreadsheetml/2006/main">
  <c r="Q50" i="69" l="1"/>
  <c r="T50" i="69" s="1"/>
  <c r="P50" i="69"/>
  <c r="S50" i="69" s="1"/>
  <c r="O50" i="69"/>
  <c r="R50" i="69" s="1"/>
  <c r="N50" i="69"/>
  <c r="I50" i="69"/>
  <c r="L50" i="69" s="1"/>
  <c r="H50" i="69"/>
  <c r="K50" i="69" s="1"/>
  <c r="G50" i="69"/>
  <c r="J50" i="69" s="1"/>
  <c r="F50" i="69"/>
  <c r="T49" i="69"/>
  <c r="S49" i="69"/>
  <c r="R49" i="69"/>
  <c r="L49" i="69"/>
  <c r="K49" i="69"/>
  <c r="J49" i="69"/>
  <c r="T48" i="69"/>
  <c r="S48" i="69"/>
  <c r="R48" i="69"/>
  <c r="L48" i="69"/>
  <c r="K48" i="69"/>
  <c r="J48" i="69"/>
  <c r="N46" i="69"/>
  <c r="O46" i="69" s="1"/>
  <c r="F46" i="69"/>
  <c r="G46" i="69" s="1"/>
  <c r="Q44" i="69"/>
  <c r="T44" i="69" s="1"/>
  <c r="P44" i="69"/>
  <c r="S44" i="69" s="1"/>
  <c r="O44" i="69"/>
  <c r="R44" i="69" s="1"/>
  <c r="N44" i="69"/>
  <c r="I44" i="69"/>
  <c r="L44" i="69" s="1"/>
  <c r="H44" i="69"/>
  <c r="K44" i="69" s="1"/>
  <c r="G44" i="69"/>
  <c r="J44" i="69" s="1"/>
  <c r="F44" i="69"/>
  <c r="T43" i="69"/>
  <c r="S43" i="69"/>
  <c r="R43" i="69"/>
  <c r="L43" i="69"/>
  <c r="K43" i="69"/>
  <c r="J43" i="69"/>
  <c r="T42" i="69"/>
  <c r="S42" i="69"/>
  <c r="R42" i="69"/>
  <c r="L42" i="69"/>
  <c r="K42" i="69"/>
  <c r="J42" i="69"/>
  <c r="N40" i="69"/>
  <c r="O40" i="69" s="1"/>
  <c r="F40" i="69"/>
  <c r="G40" i="69" s="1"/>
  <c r="Q36" i="69"/>
  <c r="Y36" i="69" s="1"/>
  <c r="AB36" i="69" s="1"/>
  <c r="P36" i="69"/>
  <c r="X36" i="69" s="1"/>
  <c r="O36" i="69"/>
  <c r="W36" i="69" s="1"/>
  <c r="Z36" i="69" s="1"/>
  <c r="N36" i="69"/>
  <c r="V36" i="69" s="1"/>
  <c r="L36" i="69"/>
  <c r="K36" i="69"/>
  <c r="J36" i="69"/>
  <c r="T35" i="69"/>
  <c r="S35" i="69"/>
  <c r="R35" i="69"/>
  <c r="L35" i="69"/>
  <c r="K35" i="69"/>
  <c r="J35" i="69"/>
  <c r="Y34" i="69"/>
  <c r="AB34" i="69" s="1"/>
  <c r="X34" i="69"/>
  <c r="AA34" i="69" s="1"/>
  <c r="W34" i="69"/>
  <c r="Z34" i="69" s="1"/>
  <c r="V34" i="69"/>
  <c r="T34" i="69"/>
  <c r="S34" i="69"/>
  <c r="R34" i="69"/>
  <c r="L34" i="69"/>
  <c r="K34" i="69"/>
  <c r="J34" i="69"/>
  <c r="Y33" i="69"/>
  <c r="Y35" i="69" s="1"/>
  <c r="X33" i="69"/>
  <c r="AA33" i="69" s="1"/>
  <c r="W33" i="69"/>
  <c r="W35" i="69" s="1"/>
  <c r="V33" i="69"/>
  <c r="V35" i="69" s="1"/>
  <c r="T33" i="69"/>
  <c r="S33" i="69"/>
  <c r="R33" i="69"/>
  <c r="L33" i="69"/>
  <c r="K33" i="69"/>
  <c r="J33" i="69"/>
  <c r="W31" i="69"/>
  <c r="Z32" i="69" s="1"/>
  <c r="V31" i="69"/>
  <c r="O31" i="69"/>
  <c r="P31" i="69" s="1"/>
  <c r="N31" i="69"/>
  <c r="G31" i="69"/>
  <c r="J32" i="69" s="1"/>
  <c r="F31" i="69"/>
  <c r="Y30" i="69"/>
  <c r="AB30" i="69" s="1"/>
  <c r="X30" i="69"/>
  <c r="AA30" i="69" s="1"/>
  <c r="W30" i="69"/>
  <c r="Z30" i="69" s="1"/>
  <c r="V30" i="69"/>
  <c r="T30" i="69"/>
  <c r="S30" i="69"/>
  <c r="R30" i="69"/>
  <c r="L30" i="69"/>
  <c r="K30" i="69"/>
  <c r="J30" i="69"/>
  <c r="Y29" i="69"/>
  <c r="AB29" i="69" s="1"/>
  <c r="X29" i="69"/>
  <c r="AA29" i="69" s="1"/>
  <c r="W29" i="69"/>
  <c r="Z29" i="69" s="1"/>
  <c r="V29" i="69"/>
  <c r="T29" i="69"/>
  <c r="S29" i="69"/>
  <c r="R29" i="69"/>
  <c r="L29" i="69"/>
  <c r="K29" i="69"/>
  <c r="J29" i="69"/>
  <c r="Y28" i="69"/>
  <c r="AB28" i="69" s="1"/>
  <c r="X28" i="69"/>
  <c r="AA28" i="69" s="1"/>
  <c r="W28" i="69"/>
  <c r="Z28" i="69" s="1"/>
  <c r="V28" i="69"/>
  <c r="T28" i="69"/>
  <c r="S28" i="69"/>
  <c r="R28" i="69"/>
  <c r="L28" i="69"/>
  <c r="K28" i="69"/>
  <c r="J28" i="69"/>
  <c r="Y27" i="69"/>
  <c r="AB27" i="69" s="1"/>
  <c r="X27" i="69"/>
  <c r="AA27" i="69" s="1"/>
  <c r="W27" i="69"/>
  <c r="Z27" i="69" s="1"/>
  <c r="V27" i="69"/>
  <c r="T27" i="69"/>
  <c r="S27" i="69"/>
  <c r="R27" i="69"/>
  <c r="L27" i="69"/>
  <c r="K27" i="69"/>
  <c r="J27" i="69"/>
  <c r="T26" i="69"/>
  <c r="S26" i="69"/>
  <c r="R26" i="69"/>
  <c r="I26" i="69"/>
  <c r="L26" i="69" s="1"/>
  <c r="H26" i="69"/>
  <c r="K26" i="69" s="1"/>
  <c r="G26" i="69"/>
  <c r="J26" i="69" s="1"/>
  <c r="F26" i="69"/>
  <c r="Y25" i="69"/>
  <c r="AB25" i="69" s="1"/>
  <c r="X25" i="69"/>
  <c r="AA25" i="69" s="1"/>
  <c r="W25" i="69"/>
  <c r="Z25" i="69" s="1"/>
  <c r="V25" i="69"/>
  <c r="T25" i="69"/>
  <c r="S25" i="69"/>
  <c r="R25" i="69"/>
  <c r="L25" i="69"/>
  <c r="K25" i="69"/>
  <c r="J25" i="69"/>
  <c r="Y24" i="69"/>
  <c r="Y26" i="69" s="1"/>
  <c r="X24" i="69"/>
  <c r="AA24" i="69" s="1"/>
  <c r="W24" i="69"/>
  <c r="W26" i="69" s="1"/>
  <c r="Z26" i="69" s="1"/>
  <c r="V24" i="69"/>
  <c r="V26" i="69" s="1"/>
  <c r="T24" i="69"/>
  <c r="S24" i="69"/>
  <c r="R24" i="69"/>
  <c r="L24" i="69"/>
  <c r="K24" i="69"/>
  <c r="J24" i="69"/>
  <c r="V22" i="69"/>
  <c r="W22" i="69" s="1"/>
  <c r="N22" i="69"/>
  <c r="O22" i="69" s="1"/>
  <c r="F22" i="69"/>
  <c r="G22" i="69" s="1"/>
  <c r="Y21" i="69"/>
  <c r="AB21" i="69" s="1"/>
  <c r="X21" i="69"/>
  <c r="AA21" i="69" s="1"/>
  <c r="W21" i="69"/>
  <c r="Z21" i="69" s="1"/>
  <c r="V21" i="69"/>
  <c r="T21" i="69"/>
  <c r="S21" i="69"/>
  <c r="R21" i="69"/>
  <c r="L21" i="69"/>
  <c r="K21" i="69"/>
  <c r="J21" i="69"/>
  <c r="Y20" i="69"/>
  <c r="AB20" i="69" s="1"/>
  <c r="X20" i="69"/>
  <c r="AA20" i="69" s="1"/>
  <c r="W20" i="69"/>
  <c r="Z20" i="69" s="1"/>
  <c r="V20" i="69"/>
  <c r="T20" i="69"/>
  <c r="S20" i="69"/>
  <c r="R20" i="69"/>
  <c r="L20" i="69"/>
  <c r="K20" i="69"/>
  <c r="J20" i="69"/>
  <c r="Y19" i="69"/>
  <c r="AB19" i="69" s="1"/>
  <c r="X19" i="69"/>
  <c r="AA19" i="69" s="1"/>
  <c r="W19" i="69"/>
  <c r="Z19" i="69" s="1"/>
  <c r="V19" i="69"/>
  <c r="T19" i="69"/>
  <c r="S19" i="69"/>
  <c r="R19" i="69"/>
  <c r="L19" i="69"/>
  <c r="K19" i="69"/>
  <c r="J19" i="69"/>
  <c r="Y18" i="69"/>
  <c r="AB18" i="69" s="1"/>
  <c r="X18" i="69"/>
  <c r="AA18" i="69" s="1"/>
  <c r="W18" i="69"/>
  <c r="Z18" i="69" s="1"/>
  <c r="V18" i="69"/>
  <c r="T18" i="69"/>
  <c r="S18" i="69"/>
  <c r="R18" i="69"/>
  <c r="L18" i="69"/>
  <c r="K18" i="69"/>
  <c r="J18" i="69"/>
  <c r="M17" i="69"/>
  <c r="L17" i="69"/>
  <c r="K17" i="69"/>
  <c r="J17" i="69"/>
  <c r="Q16" i="69"/>
  <c r="Y16" i="69" s="1"/>
  <c r="P16" i="69"/>
  <c r="X16" i="69" s="1"/>
  <c r="AA16" i="69" s="1"/>
  <c r="O16" i="69"/>
  <c r="W16" i="69" s="1"/>
  <c r="N16" i="69"/>
  <c r="V16" i="69" s="1"/>
  <c r="L16" i="69"/>
  <c r="K16" i="69"/>
  <c r="J16" i="69"/>
  <c r="Y15" i="69"/>
  <c r="Y17" i="69" s="1"/>
  <c r="W15" i="69"/>
  <c r="W17" i="69" s="1"/>
  <c r="Q15" i="69"/>
  <c r="Q17" i="69" s="1"/>
  <c r="T17" i="69" s="1"/>
  <c r="P15" i="69"/>
  <c r="P17" i="69" s="1"/>
  <c r="O15" i="69"/>
  <c r="O17" i="69" s="1"/>
  <c r="R17" i="69" s="1"/>
  <c r="N15" i="69"/>
  <c r="N17" i="69" s="1"/>
  <c r="L15" i="69"/>
  <c r="K15" i="69"/>
  <c r="J15" i="69"/>
  <c r="V13" i="69"/>
  <c r="W13" i="69" s="1"/>
  <c r="N13" i="69"/>
  <c r="O13" i="69" s="1"/>
  <c r="F13" i="69"/>
  <c r="G13" i="69" s="1"/>
  <c r="K12" i="69"/>
  <c r="I12" i="69"/>
  <c r="L12" i="69" s="1"/>
  <c r="H12" i="69"/>
  <c r="F12" i="69"/>
  <c r="J12" i="69" s="1"/>
  <c r="L11" i="69"/>
  <c r="G11" i="69"/>
  <c r="K11" i="69" s="1"/>
  <c r="L10" i="69"/>
  <c r="K10" i="69"/>
  <c r="J10" i="69"/>
  <c r="L9" i="69"/>
  <c r="K9" i="69"/>
  <c r="J9" i="69"/>
  <c r="G7" i="69"/>
  <c r="J8" i="69" s="1"/>
  <c r="D7" i="69"/>
  <c r="J14" i="69" l="1"/>
  <c r="H13" i="69"/>
  <c r="Z14" i="69"/>
  <c r="X13" i="69"/>
  <c r="P13" i="69"/>
  <c r="R14" i="69"/>
  <c r="H7" i="69"/>
  <c r="J11" i="69"/>
  <c r="S17" i="69"/>
  <c r="Z16" i="69"/>
  <c r="AB16" i="69"/>
  <c r="P22" i="69"/>
  <c r="R23" i="69"/>
  <c r="S32" i="69"/>
  <c r="Q31" i="69"/>
  <c r="T32" i="69" s="1"/>
  <c r="Z35" i="69"/>
  <c r="AA36" i="69"/>
  <c r="J41" i="69"/>
  <c r="H40" i="69"/>
  <c r="J47" i="69"/>
  <c r="H46" i="69"/>
  <c r="J23" i="69"/>
  <c r="H22" i="69"/>
  <c r="Z23" i="69"/>
  <c r="X22" i="69"/>
  <c r="R41" i="69"/>
  <c r="P40" i="69"/>
  <c r="R47" i="69"/>
  <c r="P46" i="69"/>
  <c r="R15" i="69"/>
  <c r="T15" i="69"/>
  <c r="S16" i="69"/>
  <c r="Z24" i="69"/>
  <c r="AB24" i="69"/>
  <c r="X26" i="69"/>
  <c r="AA26" i="69" s="1"/>
  <c r="R32" i="69"/>
  <c r="Z33" i="69"/>
  <c r="AB33" i="69"/>
  <c r="X35" i="69"/>
  <c r="AA35" i="69" s="1"/>
  <c r="R36" i="69"/>
  <c r="T36" i="69"/>
  <c r="S15" i="69"/>
  <c r="V15" i="69"/>
  <c r="V17" i="69" s="1"/>
  <c r="Z17" i="69" s="1"/>
  <c r="X15" i="69"/>
  <c r="Z15" i="69"/>
  <c r="AB15" i="69"/>
  <c r="R16" i="69"/>
  <c r="T16" i="69"/>
  <c r="H31" i="69"/>
  <c r="X31" i="69"/>
  <c r="S36" i="69"/>
  <c r="Q50" i="68"/>
  <c r="P50" i="68"/>
  <c r="T50" i="68" s="1"/>
  <c r="O50" i="68"/>
  <c r="N50" i="68"/>
  <c r="R50" i="68" s="1"/>
  <c r="I50" i="68"/>
  <c r="L50" i="68" s="1"/>
  <c r="H50" i="68"/>
  <c r="G50" i="68"/>
  <c r="K50" i="68" s="1"/>
  <c r="F50" i="68"/>
  <c r="T49" i="68"/>
  <c r="S49" i="68"/>
  <c r="R49" i="68"/>
  <c r="L49" i="68"/>
  <c r="K49" i="68"/>
  <c r="J49" i="68"/>
  <c r="T48" i="68"/>
  <c r="S48" i="68"/>
  <c r="R48" i="68"/>
  <c r="L48" i="68"/>
  <c r="K48" i="68"/>
  <c r="J48" i="68"/>
  <c r="O46" i="68"/>
  <c r="R47" i="68" s="1"/>
  <c r="N46" i="68"/>
  <c r="G46" i="68"/>
  <c r="J47" i="68" s="1"/>
  <c r="F46" i="68"/>
  <c r="Q44" i="68"/>
  <c r="P44" i="68"/>
  <c r="T44" i="68" s="1"/>
  <c r="O44" i="68"/>
  <c r="N44" i="68"/>
  <c r="R44" i="68" s="1"/>
  <c r="I44" i="68"/>
  <c r="L44" i="68" s="1"/>
  <c r="H44" i="68"/>
  <c r="G44" i="68"/>
  <c r="K44" i="68" s="1"/>
  <c r="F44" i="68"/>
  <c r="T43" i="68"/>
  <c r="S43" i="68"/>
  <c r="R43" i="68"/>
  <c r="L43" i="68"/>
  <c r="K43" i="68"/>
  <c r="J43" i="68"/>
  <c r="T42" i="68"/>
  <c r="S42" i="68"/>
  <c r="R42" i="68"/>
  <c r="L42" i="68"/>
  <c r="K42" i="68"/>
  <c r="J42" i="68"/>
  <c r="O40" i="68"/>
  <c r="R41" i="68" s="1"/>
  <c r="N40" i="68"/>
  <c r="G40" i="68"/>
  <c r="J41" i="68" s="1"/>
  <c r="F40" i="68"/>
  <c r="Y36" i="68"/>
  <c r="X36" i="68"/>
  <c r="AB36" i="68" s="1"/>
  <c r="W36" i="68"/>
  <c r="V36" i="68"/>
  <c r="Z36" i="68" s="1"/>
  <c r="T36" i="68"/>
  <c r="S36" i="68"/>
  <c r="R36" i="68"/>
  <c r="L36" i="68"/>
  <c r="K36" i="68"/>
  <c r="J36" i="68"/>
  <c r="Q35" i="68"/>
  <c r="P35" i="68"/>
  <c r="T35" i="68" s="1"/>
  <c r="O35" i="68"/>
  <c r="N35" i="68"/>
  <c r="R35" i="68" s="1"/>
  <c r="I35" i="68"/>
  <c r="L35" i="68" s="1"/>
  <c r="H35" i="68"/>
  <c r="G35" i="68"/>
  <c r="K35" i="68" s="1"/>
  <c r="F35" i="68"/>
  <c r="Y34" i="68"/>
  <c r="X34" i="68"/>
  <c r="AB34" i="68" s="1"/>
  <c r="W34" i="68"/>
  <c r="V34" i="68"/>
  <c r="Z34" i="68" s="1"/>
  <c r="T34" i="68"/>
  <c r="S34" i="68"/>
  <c r="R34" i="68"/>
  <c r="L34" i="68"/>
  <c r="K34" i="68"/>
  <c r="J34" i="68"/>
  <c r="Y33" i="68"/>
  <c r="Y35" i="68" s="1"/>
  <c r="AB35" i="68" s="1"/>
  <c r="X33" i="68"/>
  <c r="X35" i="68" s="1"/>
  <c r="W33" i="68"/>
  <c r="W35" i="68" s="1"/>
  <c r="Z35" i="68" s="1"/>
  <c r="V33" i="68"/>
  <c r="V35" i="68" s="1"/>
  <c r="T33" i="68"/>
  <c r="S33" i="68"/>
  <c r="R33" i="68"/>
  <c r="L33" i="68"/>
  <c r="K33" i="68"/>
  <c r="J33" i="68"/>
  <c r="V31" i="68"/>
  <c r="W31" i="68" s="1"/>
  <c r="N31" i="68"/>
  <c r="O31" i="68" s="1"/>
  <c r="F31" i="68"/>
  <c r="G31" i="68" s="1"/>
  <c r="Y30" i="68"/>
  <c r="AB30" i="68" s="1"/>
  <c r="X30" i="68"/>
  <c r="W30" i="68"/>
  <c r="AA30" i="68" s="1"/>
  <c r="V30" i="68"/>
  <c r="T30" i="68"/>
  <c r="S30" i="68"/>
  <c r="R30" i="68"/>
  <c r="L30" i="68"/>
  <c r="K30" i="68"/>
  <c r="J30" i="68"/>
  <c r="Y29" i="68"/>
  <c r="X29" i="68"/>
  <c r="AB29" i="68" s="1"/>
  <c r="W29" i="68"/>
  <c r="V29" i="68"/>
  <c r="Z29" i="68" s="1"/>
  <c r="T29" i="68"/>
  <c r="S29" i="68"/>
  <c r="R29" i="68"/>
  <c r="L29" i="68"/>
  <c r="K29" i="68"/>
  <c r="J29" i="68"/>
  <c r="Y28" i="68"/>
  <c r="AB28" i="68" s="1"/>
  <c r="X28" i="68"/>
  <c r="W28" i="68"/>
  <c r="AA28" i="68" s="1"/>
  <c r="V28" i="68"/>
  <c r="T28" i="68"/>
  <c r="S28" i="68"/>
  <c r="R28" i="68"/>
  <c r="L28" i="68"/>
  <c r="K28" i="68"/>
  <c r="J28" i="68"/>
  <c r="Y27" i="68"/>
  <c r="X27" i="68"/>
  <c r="AB27" i="68" s="1"/>
  <c r="W27" i="68"/>
  <c r="V27" i="68"/>
  <c r="Z27" i="68" s="1"/>
  <c r="T27" i="68"/>
  <c r="S27" i="68"/>
  <c r="R27" i="68"/>
  <c r="L27" i="68"/>
  <c r="K27" i="68"/>
  <c r="J27" i="68"/>
  <c r="Q26" i="68"/>
  <c r="P26" i="68"/>
  <c r="T26" i="68" s="1"/>
  <c r="O26" i="68"/>
  <c r="N26" i="68"/>
  <c r="R26" i="68" s="1"/>
  <c r="I26" i="68"/>
  <c r="L26" i="68" s="1"/>
  <c r="H26" i="68"/>
  <c r="G26" i="68"/>
  <c r="K26" i="68" s="1"/>
  <c r="F26" i="68"/>
  <c r="Y25" i="68"/>
  <c r="X25" i="68"/>
  <c r="AB25" i="68" s="1"/>
  <c r="W25" i="68"/>
  <c r="V25" i="68"/>
  <c r="Z25" i="68" s="1"/>
  <c r="T25" i="68"/>
  <c r="S25" i="68"/>
  <c r="R25" i="68"/>
  <c r="L25" i="68"/>
  <c r="K25" i="68"/>
  <c r="J25" i="68"/>
  <c r="Y24" i="68"/>
  <c r="Y26" i="68" s="1"/>
  <c r="X24" i="68"/>
  <c r="X26" i="68" s="1"/>
  <c r="AA26" i="68" s="1"/>
  <c r="W24" i="68"/>
  <c r="W26" i="68" s="1"/>
  <c r="V24" i="68"/>
  <c r="V26" i="68" s="1"/>
  <c r="T24" i="68"/>
  <c r="S24" i="68"/>
  <c r="R24" i="68"/>
  <c r="L24" i="68"/>
  <c r="K24" i="68"/>
  <c r="J24" i="68"/>
  <c r="V22" i="68"/>
  <c r="W22" i="68" s="1"/>
  <c r="N22" i="68"/>
  <c r="O22" i="68" s="1"/>
  <c r="F22" i="68"/>
  <c r="G22" i="68" s="1"/>
  <c r="Y21" i="68"/>
  <c r="AB21" i="68" s="1"/>
  <c r="X21" i="68"/>
  <c r="AA21" i="68" s="1"/>
  <c r="W21" i="68"/>
  <c r="Z21" i="68" s="1"/>
  <c r="V21" i="68"/>
  <c r="T21" i="68"/>
  <c r="S21" i="68"/>
  <c r="R21" i="68"/>
  <c r="L21" i="68"/>
  <c r="K21" i="68"/>
  <c r="J21" i="68"/>
  <c r="Y20" i="68"/>
  <c r="X20" i="68"/>
  <c r="AB20" i="68" s="1"/>
  <c r="W20" i="68"/>
  <c r="V20" i="68"/>
  <c r="Z20" i="68" s="1"/>
  <c r="T20" i="68"/>
  <c r="S20" i="68"/>
  <c r="R20" i="68"/>
  <c r="L20" i="68"/>
  <c r="K20" i="68"/>
  <c r="J20" i="68"/>
  <c r="Y19" i="68"/>
  <c r="AB19" i="68" s="1"/>
  <c r="X19" i="68"/>
  <c r="AA19" i="68" s="1"/>
  <c r="W19" i="68"/>
  <c r="Z19" i="68" s="1"/>
  <c r="V19" i="68"/>
  <c r="T19" i="68"/>
  <c r="S19" i="68"/>
  <c r="R19" i="68"/>
  <c r="L19" i="68"/>
  <c r="K19" i="68"/>
  <c r="J19" i="68"/>
  <c r="Y18" i="68"/>
  <c r="AB18" i="68" s="1"/>
  <c r="X18" i="68"/>
  <c r="AA18" i="68" s="1"/>
  <c r="W18" i="68"/>
  <c r="Z18" i="68" s="1"/>
  <c r="V18" i="68"/>
  <c r="T18" i="68"/>
  <c r="S18" i="68"/>
  <c r="R18" i="68"/>
  <c r="L18" i="68"/>
  <c r="K18" i="68"/>
  <c r="J18" i="68"/>
  <c r="Q17" i="68"/>
  <c r="T17" i="68" s="1"/>
  <c r="P17" i="68"/>
  <c r="S17" i="68" s="1"/>
  <c r="O17" i="68"/>
  <c r="R17" i="68" s="1"/>
  <c r="N17" i="68"/>
  <c r="M17" i="68"/>
  <c r="I17" i="68"/>
  <c r="L17" i="68" s="1"/>
  <c r="H17" i="68"/>
  <c r="K17" i="68" s="1"/>
  <c r="G17" i="68"/>
  <c r="J17" i="68" s="1"/>
  <c r="F17" i="68"/>
  <c r="Y16" i="68"/>
  <c r="AB16" i="68" s="1"/>
  <c r="X16" i="68"/>
  <c r="AA16" i="68" s="1"/>
  <c r="W16" i="68"/>
  <c r="Z16" i="68" s="1"/>
  <c r="V16" i="68"/>
  <c r="T16" i="68"/>
  <c r="S16" i="68"/>
  <c r="R16" i="68"/>
  <c r="L16" i="68"/>
  <c r="K16" i="68"/>
  <c r="J16" i="68"/>
  <c r="Y15" i="68"/>
  <c r="Y17" i="68" s="1"/>
  <c r="X15" i="68"/>
  <c r="AB15" i="68" s="1"/>
  <c r="W15" i="68"/>
  <c r="W17" i="68" s="1"/>
  <c r="V15" i="68"/>
  <c r="Z15" i="68" s="1"/>
  <c r="T15" i="68"/>
  <c r="S15" i="68"/>
  <c r="R15" i="68"/>
  <c r="L15" i="68"/>
  <c r="K15" i="68"/>
  <c r="J15" i="68"/>
  <c r="W13" i="68"/>
  <c r="Z14" i="68" s="1"/>
  <c r="V13" i="68"/>
  <c r="N13" i="68"/>
  <c r="O13" i="68" s="1"/>
  <c r="F13" i="68"/>
  <c r="G13" i="68" s="1"/>
  <c r="I12" i="68"/>
  <c r="L12" i="68" s="1"/>
  <c r="H12" i="68"/>
  <c r="G12" i="68"/>
  <c r="J12" i="68" s="1"/>
  <c r="F12" i="68"/>
  <c r="L11" i="68"/>
  <c r="K11" i="68"/>
  <c r="J11" i="68"/>
  <c r="L10" i="68"/>
  <c r="K10" i="68"/>
  <c r="J10" i="68"/>
  <c r="L9" i="68"/>
  <c r="K9" i="68"/>
  <c r="J9" i="68"/>
  <c r="G7" i="68"/>
  <c r="J8" i="68" s="1"/>
  <c r="D7" i="68"/>
  <c r="AA32" i="69" l="1"/>
  <c r="Y31" i="69"/>
  <c r="AB32" i="69" s="1"/>
  <c r="X17" i="69"/>
  <c r="AA15" i="69"/>
  <c r="AA23" i="69"/>
  <c r="Y22" i="69"/>
  <c r="AB23" i="69" s="1"/>
  <c r="K23" i="69"/>
  <c r="I22" i="69"/>
  <c r="L23" i="69" s="1"/>
  <c r="AB35" i="69"/>
  <c r="AA14" i="69"/>
  <c r="Y13" i="69"/>
  <c r="AB14" i="69" s="1"/>
  <c r="K14" i="69"/>
  <c r="I13" i="69"/>
  <c r="L14" i="69" s="1"/>
  <c r="K32" i="69"/>
  <c r="I31" i="69"/>
  <c r="L32" i="69" s="1"/>
  <c r="Q46" i="69"/>
  <c r="T47" i="69" s="1"/>
  <c r="S47" i="69"/>
  <c r="Q40" i="69"/>
  <c r="T41" i="69" s="1"/>
  <c r="S41" i="69"/>
  <c r="AB26" i="69"/>
  <c r="K47" i="69"/>
  <c r="I46" i="69"/>
  <c r="L47" i="69" s="1"/>
  <c r="K41" i="69"/>
  <c r="I40" i="69"/>
  <c r="L41" i="69" s="1"/>
  <c r="S23" i="69"/>
  <c r="Q22" i="69"/>
  <c r="T23" i="69" s="1"/>
  <c r="K8" i="69"/>
  <c r="I7" i="69"/>
  <c r="L8" i="69" s="1"/>
  <c r="S14" i="69"/>
  <c r="Q13" i="69"/>
  <c r="T14" i="69" s="1"/>
  <c r="R14" i="68"/>
  <c r="P13" i="68"/>
  <c r="J14" i="68"/>
  <c r="H13" i="68"/>
  <c r="K12" i="68"/>
  <c r="H7" i="68"/>
  <c r="J23" i="68"/>
  <c r="H22" i="68"/>
  <c r="Z23" i="68"/>
  <c r="X22" i="68"/>
  <c r="Z26" i="68"/>
  <c r="AB26" i="68"/>
  <c r="P31" i="68"/>
  <c r="R32" i="68"/>
  <c r="AA35" i="68"/>
  <c r="P22" i="68"/>
  <c r="R23" i="68"/>
  <c r="J32" i="68"/>
  <c r="H31" i="68"/>
  <c r="Z32" i="68"/>
  <c r="X31" i="68"/>
  <c r="X13" i="68"/>
  <c r="AA15" i="68"/>
  <c r="V17" i="68"/>
  <c r="Z17" i="68" s="1"/>
  <c r="X17" i="68"/>
  <c r="AA17" i="68" s="1"/>
  <c r="AA20" i="68"/>
  <c r="Z24" i="68"/>
  <c r="AB24" i="68"/>
  <c r="AA25" i="68"/>
  <c r="J26" i="68"/>
  <c r="S26" i="68"/>
  <c r="AA27" i="68"/>
  <c r="Z28" i="68"/>
  <c r="AA29" i="68"/>
  <c r="Z30" i="68"/>
  <c r="Z33" i="68"/>
  <c r="AB33" i="68"/>
  <c r="AA34" i="68"/>
  <c r="J35" i="68"/>
  <c r="S35" i="68"/>
  <c r="AA36" i="68"/>
  <c r="H40" i="68"/>
  <c r="P40" i="68"/>
  <c r="J44" i="68"/>
  <c r="S44" i="68"/>
  <c r="H46" i="68"/>
  <c r="P46" i="68"/>
  <c r="J50" i="68"/>
  <c r="S50" i="68"/>
  <c r="AA24" i="68"/>
  <c r="AA33" i="68"/>
  <c r="Q50" i="67"/>
  <c r="P50" i="67"/>
  <c r="T50" i="67" s="1"/>
  <c r="O50" i="67"/>
  <c r="N50" i="67"/>
  <c r="R50" i="67" s="1"/>
  <c r="I50" i="67"/>
  <c r="L50" i="67" s="1"/>
  <c r="H50" i="67"/>
  <c r="G50" i="67"/>
  <c r="K50" i="67" s="1"/>
  <c r="F50" i="67"/>
  <c r="T49" i="67"/>
  <c r="S49" i="67"/>
  <c r="R49" i="67"/>
  <c r="L49" i="67"/>
  <c r="K49" i="67"/>
  <c r="J49" i="67"/>
  <c r="T48" i="67"/>
  <c r="S48" i="67"/>
  <c r="R48" i="67"/>
  <c r="L48" i="67"/>
  <c r="K48" i="67"/>
  <c r="J48" i="67"/>
  <c r="O46" i="67"/>
  <c r="R47" i="67" s="1"/>
  <c r="N46" i="67"/>
  <c r="G46" i="67"/>
  <c r="J47" i="67" s="1"/>
  <c r="F46" i="67"/>
  <c r="Q44" i="67"/>
  <c r="P44" i="67"/>
  <c r="T44" i="67" s="1"/>
  <c r="O44" i="67"/>
  <c r="N44" i="67"/>
  <c r="R44" i="67" s="1"/>
  <c r="I44" i="67"/>
  <c r="L44" i="67" s="1"/>
  <c r="H44" i="67"/>
  <c r="G44" i="67"/>
  <c r="K44" i="67" s="1"/>
  <c r="F44" i="67"/>
  <c r="T43" i="67"/>
  <c r="S43" i="67"/>
  <c r="R43" i="67"/>
  <c r="L43" i="67"/>
  <c r="K43" i="67"/>
  <c r="J43" i="67"/>
  <c r="T42" i="67"/>
  <c r="S42" i="67"/>
  <c r="R42" i="67"/>
  <c r="L42" i="67"/>
  <c r="K42" i="67"/>
  <c r="J42" i="67"/>
  <c r="N40" i="67"/>
  <c r="O40" i="67" s="1"/>
  <c r="F40" i="67"/>
  <c r="G40" i="67" s="1"/>
  <c r="AB36" i="67"/>
  <c r="AA36" i="67"/>
  <c r="Z36" i="67"/>
  <c r="T36" i="67"/>
  <c r="S36" i="67"/>
  <c r="R36" i="67"/>
  <c r="L36" i="67"/>
  <c r="K36" i="67"/>
  <c r="J36" i="67"/>
  <c r="Q35" i="67"/>
  <c r="T35" i="67" s="1"/>
  <c r="P35" i="67"/>
  <c r="S35" i="67" s="1"/>
  <c r="O35" i="67"/>
  <c r="R35" i="67" s="1"/>
  <c r="N35" i="67"/>
  <c r="Y34" i="67"/>
  <c r="AB34" i="67" s="1"/>
  <c r="X34" i="67"/>
  <c r="AA34" i="67" s="1"/>
  <c r="W34" i="67"/>
  <c r="Z34" i="67" s="1"/>
  <c r="V34" i="67"/>
  <c r="T34" i="67"/>
  <c r="S34" i="67"/>
  <c r="R34" i="67"/>
  <c r="L34" i="67"/>
  <c r="K34" i="67"/>
  <c r="J34" i="67"/>
  <c r="Y33" i="67"/>
  <c r="AB33" i="67" s="1"/>
  <c r="X33" i="67"/>
  <c r="AA33" i="67" s="1"/>
  <c r="W33" i="67"/>
  <c r="Z33" i="67" s="1"/>
  <c r="V33" i="67"/>
  <c r="T33" i="67"/>
  <c r="S33" i="67"/>
  <c r="R33" i="67"/>
  <c r="L33" i="67"/>
  <c r="K33" i="67"/>
  <c r="J33" i="67"/>
  <c r="V31" i="67"/>
  <c r="W31" i="67" s="1"/>
  <c r="N31" i="67"/>
  <c r="O31" i="67" s="1"/>
  <c r="F31" i="67"/>
  <c r="G31" i="67" s="1"/>
  <c r="Y30" i="67"/>
  <c r="AB30" i="67" s="1"/>
  <c r="X30" i="67"/>
  <c r="AA30" i="67" s="1"/>
  <c r="W30" i="67"/>
  <c r="Z30" i="67" s="1"/>
  <c r="V30" i="67"/>
  <c r="T30" i="67"/>
  <c r="S30" i="67"/>
  <c r="R30" i="67"/>
  <c r="L30" i="67"/>
  <c r="K30" i="67"/>
  <c r="J30" i="67"/>
  <c r="Y29" i="67"/>
  <c r="AB29" i="67" s="1"/>
  <c r="X29" i="67"/>
  <c r="W29" i="67"/>
  <c r="Z29" i="67" s="1"/>
  <c r="V29" i="67"/>
  <c r="T29" i="67"/>
  <c r="S29" i="67"/>
  <c r="R29" i="67"/>
  <c r="L29" i="67"/>
  <c r="K29" i="67"/>
  <c r="J29" i="67"/>
  <c r="Y28" i="67"/>
  <c r="X28" i="67"/>
  <c r="AA28" i="67" s="1"/>
  <c r="W28" i="67"/>
  <c r="V28" i="67"/>
  <c r="Z28" i="67" s="1"/>
  <c r="T28" i="67"/>
  <c r="S28" i="67"/>
  <c r="R28" i="67"/>
  <c r="L28" i="67"/>
  <c r="K28" i="67"/>
  <c r="J28" i="67"/>
  <c r="Y27" i="67"/>
  <c r="AB27" i="67" s="1"/>
  <c r="X27" i="67"/>
  <c r="W27" i="67"/>
  <c r="Z27" i="67" s="1"/>
  <c r="V27" i="67"/>
  <c r="T27" i="67"/>
  <c r="S27" i="67"/>
  <c r="R27" i="67"/>
  <c r="L27" i="67"/>
  <c r="K27" i="67"/>
  <c r="J27" i="67"/>
  <c r="I26" i="67"/>
  <c r="I35" i="67" s="1"/>
  <c r="Y25" i="67"/>
  <c r="X25" i="67"/>
  <c r="AA25" i="67" s="1"/>
  <c r="W25" i="67"/>
  <c r="V25" i="67"/>
  <c r="Z25" i="67" s="1"/>
  <c r="T25" i="67"/>
  <c r="S25" i="67"/>
  <c r="R25" i="67"/>
  <c r="L25" i="67"/>
  <c r="K25" i="67"/>
  <c r="J25" i="67"/>
  <c r="Y24" i="67"/>
  <c r="AB24" i="67" s="1"/>
  <c r="X24" i="67"/>
  <c r="W24" i="67"/>
  <c r="Z24" i="67" s="1"/>
  <c r="V24" i="67"/>
  <c r="T24" i="67"/>
  <c r="S24" i="67"/>
  <c r="R24" i="67"/>
  <c r="L24" i="67"/>
  <c r="K24" i="67"/>
  <c r="J24" i="67"/>
  <c r="V22" i="67"/>
  <c r="W22" i="67" s="1"/>
  <c r="N22" i="67"/>
  <c r="O22" i="67" s="1"/>
  <c r="F22" i="67"/>
  <c r="G22" i="67" s="1"/>
  <c r="Y21" i="67"/>
  <c r="AB21" i="67" s="1"/>
  <c r="X21" i="67"/>
  <c r="W21" i="67"/>
  <c r="Z21" i="67" s="1"/>
  <c r="V21" i="67"/>
  <c r="T21" i="67"/>
  <c r="S21" i="67"/>
  <c r="R21" i="67"/>
  <c r="L21" i="67"/>
  <c r="K21" i="67"/>
  <c r="J21" i="67"/>
  <c r="Y20" i="67"/>
  <c r="AB20" i="67" s="1"/>
  <c r="X20" i="67"/>
  <c r="AA20" i="67" s="1"/>
  <c r="W20" i="67"/>
  <c r="Z20" i="67" s="1"/>
  <c r="V20" i="67"/>
  <c r="T20" i="67"/>
  <c r="S20" i="67"/>
  <c r="R20" i="67"/>
  <c r="L20" i="67"/>
  <c r="K20" i="67"/>
  <c r="J20" i="67"/>
  <c r="Y19" i="67"/>
  <c r="AB19" i="67" s="1"/>
  <c r="X19" i="67"/>
  <c r="AA19" i="67" s="1"/>
  <c r="W19" i="67"/>
  <c r="Z19" i="67" s="1"/>
  <c r="V19" i="67"/>
  <c r="T19" i="67"/>
  <c r="S19" i="67"/>
  <c r="R19" i="67"/>
  <c r="L19" i="67"/>
  <c r="K19" i="67"/>
  <c r="J19" i="67"/>
  <c r="Y18" i="67"/>
  <c r="AB18" i="67" s="1"/>
  <c r="X18" i="67"/>
  <c r="AA18" i="67" s="1"/>
  <c r="W18" i="67"/>
  <c r="Z18" i="67" s="1"/>
  <c r="V18" i="67"/>
  <c r="T18" i="67"/>
  <c r="S18" i="67"/>
  <c r="R18" i="67"/>
  <c r="L18" i="67"/>
  <c r="K18" i="67"/>
  <c r="J18" i="67"/>
  <c r="Q17" i="67"/>
  <c r="Q26" i="67" s="1"/>
  <c r="T26" i="67" s="1"/>
  <c r="P17" i="67"/>
  <c r="P26" i="67" s="1"/>
  <c r="S26" i="67" s="1"/>
  <c r="O17" i="67"/>
  <c r="R17" i="67" s="1"/>
  <c r="N17" i="67"/>
  <c r="N26" i="67" s="1"/>
  <c r="R26" i="67" s="1"/>
  <c r="M17" i="67"/>
  <c r="H17" i="67"/>
  <c r="H26" i="67" s="1"/>
  <c r="G17" i="67"/>
  <c r="G26" i="67" s="1"/>
  <c r="F17" i="67"/>
  <c r="F26" i="67" s="1"/>
  <c r="F35" i="67" s="1"/>
  <c r="Y16" i="67"/>
  <c r="AB16" i="67" s="1"/>
  <c r="X16" i="67"/>
  <c r="W16" i="67"/>
  <c r="AA16" i="67" s="1"/>
  <c r="V16" i="67"/>
  <c r="T16" i="67"/>
  <c r="S16" i="67"/>
  <c r="R16" i="67"/>
  <c r="L16" i="67"/>
  <c r="K16" i="67"/>
  <c r="J16" i="67"/>
  <c r="Y15" i="67"/>
  <c r="Y17" i="67" s="1"/>
  <c r="X15" i="67"/>
  <c r="X17" i="67" s="1"/>
  <c r="W15" i="67"/>
  <c r="W17" i="67" s="1"/>
  <c r="V15" i="67"/>
  <c r="V17" i="67" s="1"/>
  <c r="V26" i="67" s="1"/>
  <c r="V35" i="67" s="1"/>
  <c r="T15" i="67"/>
  <c r="S15" i="67"/>
  <c r="R15" i="67"/>
  <c r="L15" i="67"/>
  <c r="K15" i="67"/>
  <c r="J15" i="67"/>
  <c r="W13" i="67"/>
  <c r="Z14" i="67" s="1"/>
  <c r="V13" i="67"/>
  <c r="O13" i="67"/>
  <c r="P13" i="67" s="1"/>
  <c r="N13" i="67"/>
  <c r="G13" i="67"/>
  <c r="J14" i="67" s="1"/>
  <c r="F13" i="67"/>
  <c r="I12" i="67"/>
  <c r="H12" i="67"/>
  <c r="L12" i="67" s="1"/>
  <c r="G12" i="67"/>
  <c r="F12" i="67"/>
  <c r="J12" i="67" s="1"/>
  <c r="L11" i="67"/>
  <c r="K11" i="67"/>
  <c r="J11" i="67"/>
  <c r="L10" i="67"/>
  <c r="K10" i="67"/>
  <c r="J10" i="67"/>
  <c r="L9" i="67"/>
  <c r="K9" i="67"/>
  <c r="J9" i="67"/>
  <c r="J8" i="67"/>
  <c r="H7" i="67"/>
  <c r="K8" i="67" s="1"/>
  <c r="G7" i="67"/>
  <c r="D7" i="67"/>
  <c r="AA17" i="69" l="1"/>
  <c r="AB17" i="69"/>
  <c r="K47" i="68"/>
  <c r="I46" i="68"/>
  <c r="L47" i="68" s="1"/>
  <c r="K41" i="68"/>
  <c r="I40" i="68"/>
  <c r="L41" i="68" s="1"/>
  <c r="AA14" i="68"/>
  <c r="Y13" i="68"/>
  <c r="AB14" i="68" s="1"/>
  <c r="S23" i="68"/>
  <c r="Q22" i="68"/>
  <c r="T23" i="68" s="1"/>
  <c r="AA23" i="68"/>
  <c r="Y22" i="68"/>
  <c r="AB23" i="68" s="1"/>
  <c r="K23" i="68"/>
  <c r="I22" i="68"/>
  <c r="L23" i="68" s="1"/>
  <c r="AB17" i="68"/>
  <c r="K8" i="68"/>
  <c r="I7" i="68"/>
  <c r="L8" i="68" s="1"/>
  <c r="K14" i="68"/>
  <c r="I13" i="68"/>
  <c r="L14" i="68" s="1"/>
  <c r="Q13" i="68"/>
  <c r="T14" i="68" s="1"/>
  <c r="S14" i="68"/>
  <c r="Q46" i="68"/>
  <c r="T47" i="68" s="1"/>
  <c r="S47" i="68"/>
  <c r="Q40" i="68"/>
  <c r="T41" i="68" s="1"/>
  <c r="S41" i="68"/>
  <c r="AA32" i="68"/>
  <c r="Y31" i="68"/>
  <c r="AB32" i="68" s="1"/>
  <c r="K32" i="68"/>
  <c r="I31" i="68"/>
  <c r="L32" i="68" s="1"/>
  <c r="S32" i="68"/>
  <c r="Q31" i="68"/>
  <c r="T32" i="68" s="1"/>
  <c r="S14" i="67"/>
  <c r="Q13" i="67"/>
  <c r="T14" i="67" s="1"/>
  <c r="R14" i="67"/>
  <c r="W26" i="67"/>
  <c r="Z17" i="67"/>
  <c r="G35" i="67"/>
  <c r="J35" i="67" s="1"/>
  <c r="J26" i="67"/>
  <c r="R23" i="67"/>
  <c r="P22" i="67"/>
  <c r="R41" i="67"/>
  <c r="P40" i="67"/>
  <c r="I7" i="67"/>
  <c r="L8" i="67" s="1"/>
  <c r="K12" i="67"/>
  <c r="H13" i="67"/>
  <c r="X13" i="67"/>
  <c r="X26" i="67"/>
  <c r="AA17" i="67"/>
  <c r="H35" i="67"/>
  <c r="K35" i="67" s="1"/>
  <c r="K26" i="67"/>
  <c r="J23" i="67"/>
  <c r="H22" i="67"/>
  <c r="Z23" i="67"/>
  <c r="X22" i="67"/>
  <c r="J32" i="67"/>
  <c r="H31" i="67"/>
  <c r="Z32" i="67"/>
  <c r="X31" i="67"/>
  <c r="J41" i="67"/>
  <c r="H40" i="67"/>
  <c r="Y26" i="67"/>
  <c r="AB17" i="67"/>
  <c r="L35" i="67"/>
  <c r="P31" i="67"/>
  <c r="R32" i="67"/>
  <c r="AA15" i="67"/>
  <c r="Z16" i="67"/>
  <c r="J17" i="67"/>
  <c r="L17" i="67"/>
  <c r="T17" i="67"/>
  <c r="AA21" i="67"/>
  <c r="AA24" i="67"/>
  <c r="AB25" i="67"/>
  <c r="AA27" i="67"/>
  <c r="AB28" i="67"/>
  <c r="AA29" i="67"/>
  <c r="J44" i="67"/>
  <c r="S44" i="67"/>
  <c r="H46" i="67"/>
  <c r="P46" i="67"/>
  <c r="J50" i="67"/>
  <c r="S50" i="67"/>
  <c r="Z15" i="67"/>
  <c r="AB15" i="67"/>
  <c r="K17" i="67"/>
  <c r="S17" i="67"/>
  <c r="L26" i="67"/>
  <c r="Q50" i="66"/>
  <c r="P50" i="66"/>
  <c r="O50" i="66"/>
  <c r="N50" i="66"/>
  <c r="I50" i="66"/>
  <c r="L50" i="66" s="1"/>
  <c r="H50" i="66"/>
  <c r="G50" i="66"/>
  <c r="K50" i="66" s="1"/>
  <c r="F50" i="66"/>
  <c r="T49" i="66"/>
  <c r="S49" i="66"/>
  <c r="R49" i="66"/>
  <c r="L49" i="66"/>
  <c r="K49" i="66"/>
  <c r="J49" i="66"/>
  <c r="T48" i="66"/>
  <c r="S48" i="66"/>
  <c r="R48" i="66"/>
  <c r="L48" i="66"/>
  <c r="K48" i="66"/>
  <c r="J48" i="66"/>
  <c r="F46" i="66"/>
  <c r="G46" i="66" s="1"/>
  <c r="H46" i="66" s="1"/>
  <c r="I46" i="66" s="1"/>
  <c r="Q44" i="66"/>
  <c r="P44" i="66"/>
  <c r="S44" i="66" s="1"/>
  <c r="O44" i="66"/>
  <c r="N44" i="66"/>
  <c r="I44" i="66"/>
  <c r="H44" i="66"/>
  <c r="K44" i="66" s="1"/>
  <c r="G44" i="66"/>
  <c r="F44" i="66"/>
  <c r="T43" i="66"/>
  <c r="S43" i="66"/>
  <c r="R43" i="66"/>
  <c r="L43" i="66"/>
  <c r="K43" i="66"/>
  <c r="J43" i="66"/>
  <c r="T42" i="66"/>
  <c r="S42" i="66"/>
  <c r="R42" i="66"/>
  <c r="L42" i="66"/>
  <c r="K42" i="66"/>
  <c r="J42" i="66"/>
  <c r="F40" i="66"/>
  <c r="G40" i="66" s="1"/>
  <c r="H40" i="66" s="1"/>
  <c r="I40" i="66" s="1"/>
  <c r="Y36" i="66"/>
  <c r="AB36" i="66" s="1"/>
  <c r="X36" i="66"/>
  <c r="W36" i="66"/>
  <c r="Z36" i="66" s="1"/>
  <c r="V36" i="66"/>
  <c r="T36" i="66"/>
  <c r="S36" i="66"/>
  <c r="R36" i="66"/>
  <c r="L36" i="66"/>
  <c r="K36" i="66"/>
  <c r="J36" i="66"/>
  <c r="Y34" i="66"/>
  <c r="AB34" i="66" s="1"/>
  <c r="X34" i="66"/>
  <c r="W34" i="66"/>
  <c r="Z34" i="66" s="1"/>
  <c r="V34" i="66"/>
  <c r="T34" i="66"/>
  <c r="S34" i="66"/>
  <c r="R34" i="66"/>
  <c r="L34" i="66"/>
  <c r="K34" i="66"/>
  <c r="J34" i="66"/>
  <c r="Y33" i="66"/>
  <c r="AB33" i="66" s="1"/>
  <c r="X33" i="66"/>
  <c r="W33" i="66"/>
  <c r="Z33" i="66" s="1"/>
  <c r="V33" i="66"/>
  <c r="T33" i="66"/>
  <c r="S33" i="66"/>
  <c r="R33" i="66"/>
  <c r="L33" i="66"/>
  <c r="K33" i="66"/>
  <c r="J33" i="66"/>
  <c r="F31" i="66"/>
  <c r="G31" i="66" s="1"/>
  <c r="H31" i="66" s="1"/>
  <c r="I31" i="66" s="1"/>
  <c r="Y30" i="66"/>
  <c r="X30" i="66"/>
  <c r="AA30" i="66" s="1"/>
  <c r="W30" i="66"/>
  <c r="V30" i="66"/>
  <c r="T30" i="66"/>
  <c r="S30" i="66"/>
  <c r="R30" i="66"/>
  <c r="L30" i="66"/>
  <c r="K30" i="66"/>
  <c r="J30" i="66"/>
  <c r="Y29" i="66"/>
  <c r="X29" i="66"/>
  <c r="AA29" i="66" s="1"/>
  <c r="W29" i="66"/>
  <c r="V29" i="66"/>
  <c r="T29" i="66"/>
  <c r="S29" i="66"/>
  <c r="R29" i="66"/>
  <c r="L29" i="66"/>
  <c r="K29" i="66"/>
  <c r="J29" i="66"/>
  <c r="Y28" i="66"/>
  <c r="X28" i="66"/>
  <c r="AA28" i="66" s="1"/>
  <c r="W28" i="66"/>
  <c r="V28" i="66"/>
  <c r="Z28" i="66" s="1"/>
  <c r="T28" i="66"/>
  <c r="S28" i="66"/>
  <c r="R28" i="66"/>
  <c r="L28" i="66"/>
  <c r="K28" i="66"/>
  <c r="J28" i="66"/>
  <c r="Y27" i="66"/>
  <c r="X27" i="66"/>
  <c r="W27" i="66"/>
  <c r="V27" i="66"/>
  <c r="T27" i="66"/>
  <c r="S27" i="66"/>
  <c r="R27" i="66"/>
  <c r="L27" i="66"/>
  <c r="K27" i="66"/>
  <c r="J27" i="66"/>
  <c r="Q26" i="66"/>
  <c r="Q35" i="66" s="1"/>
  <c r="P26" i="66"/>
  <c r="P35" i="66" s="1"/>
  <c r="O26" i="66"/>
  <c r="O35" i="66" s="1"/>
  <c r="N26" i="66"/>
  <c r="N35" i="66" s="1"/>
  <c r="I26" i="66"/>
  <c r="I35" i="66" s="1"/>
  <c r="H26" i="66"/>
  <c r="H35" i="66" s="1"/>
  <c r="K35" i="66" s="1"/>
  <c r="G26" i="66"/>
  <c r="G35" i="66" s="1"/>
  <c r="F26" i="66"/>
  <c r="F35" i="66" s="1"/>
  <c r="Y25" i="66"/>
  <c r="X25" i="66"/>
  <c r="AA25" i="66" s="1"/>
  <c r="W25" i="66"/>
  <c r="V25" i="66"/>
  <c r="T25" i="66"/>
  <c r="S25" i="66"/>
  <c r="R25" i="66"/>
  <c r="L25" i="66"/>
  <c r="K25" i="66"/>
  <c r="J25" i="66"/>
  <c r="Y24" i="66"/>
  <c r="X24" i="66"/>
  <c r="AA24" i="66" s="1"/>
  <c r="W24" i="66"/>
  <c r="V24" i="66"/>
  <c r="T24" i="66"/>
  <c r="S24" i="66"/>
  <c r="R24" i="66"/>
  <c r="L24" i="66"/>
  <c r="K24" i="66"/>
  <c r="J24" i="66"/>
  <c r="F22" i="66"/>
  <c r="G22" i="66" s="1"/>
  <c r="H22" i="66" s="1"/>
  <c r="I22" i="66" s="1"/>
  <c r="Y21" i="66"/>
  <c r="AB21" i="66" s="1"/>
  <c r="X21" i="66"/>
  <c r="W21" i="66"/>
  <c r="Z21" i="66" s="1"/>
  <c r="V21" i="66"/>
  <c r="T21" i="66"/>
  <c r="S21" i="66"/>
  <c r="R21" i="66"/>
  <c r="L21" i="66"/>
  <c r="K21" i="66"/>
  <c r="J21" i="66"/>
  <c r="Y20" i="66"/>
  <c r="AB20" i="66" s="1"/>
  <c r="X20" i="66"/>
  <c r="W20" i="66"/>
  <c r="Z20" i="66" s="1"/>
  <c r="V20" i="66"/>
  <c r="T20" i="66"/>
  <c r="S20" i="66"/>
  <c r="R20" i="66"/>
  <c r="L20" i="66"/>
  <c r="K20" i="66"/>
  <c r="J20" i="66"/>
  <c r="Y19" i="66"/>
  <c r="X19" i="66"/>
  <c r="W19" i="66"/>
  <c r="V19" i="66"/>
  <c r="T19" i="66"/>
  <c r="S19" i="66"/>
  <c r="R19" i="66"/>
  <c r="L19" i="66"/>
  <c r="K19" i="66"/>
  <c r="J19" i="66"/>
  <c r="Y18" i="66"/>
  <c r="AB18" i="66" s="1"/>
  <c r="X18" i="66"/>
  <c r="W18" i="66"/>
  <c r="AA18" i="66" s="1"/>
  <c r="V18" i="66"/>
  <c r="T18" i="66"/>
  <c r="S18" i="66"/>
  <c r="R18" i="66"/>
  <c r="L18" i="66"/>
  <c r="K18" i="66"/>
  <c r="J18" i="66"/>
  <c r="Y17" i="66"/>
  <c r="AB17" i="66" s="1"/>
  <c r="X17" i="66"/>
  <c r="W17" i="66"/>
  <c r="Z17" i="66" s="1"/>
  <c r="V17" i="66"/>
  <c r="T17" i="66"/>
  <c r="S17" i="66"/>
  <c r="R17" i="66"/>
  <c r="M17" i="66"/>
  <c r="L17" i="66"/>
  <c r="K17" i="66"/>
  <c r="J17" i="66"/>
  <c r="Y16" i="66"/>
  <c r="X16" i="66"/>
  <c r="AA16" i="66" s="1"/>
  <c r="W16" i="66"/>
  <c r="V16" i="66"/>
  <c r="T16" i="66"/>
  <c r="S16" i="66"/>
  <c r="R16" i="66"/>
  <c r="L16" i="66"/>
  <c r="K16" i="66"/>
  <c r="J16" i="66"/>
  <c r="Y15" i="66"/>
  <c r="X15" i="66"/>
  <c r="AA15" i="66" s="1"/>
  <c r="W15" i="66"/>
  <c r="V15" i="66"/>
  <c r="T15" i="66"/>
  <c r="S15" i="66"/>
  <c r="R15" i="66"/>
  <c r="L15" i="66"/>
  <c r="K15" i="66"/>
  <c r="J15" i="66"/>
  <c r="F13" i="66"/>
  <c r="G13" i="66" s="1"/>
  <c r="H13" i="66" s="1"/>
  <c r="I13" i="66" s="1"/>
  <c r="I12" i="66"/>
  <c r="L12" i="66" s="1"/>
  <c r="H12" i="66"/>
  <c r="G12" i="66"/>
  <c r="J12" i="66" s="1"/>
  <c r="F12" i="66"/>
  <c r="L11" i="66"/>
  <c r="K11" i="66"/>
  <c r="J11" i="66"/>
  <c r="L10" i="66"/>
  <c r="K10" i="66"/>
  <c r="J10" i="66"/>
  <c r="L9" i="66"/>
  <c r="K9" i="66"/>
  <c r="J9" i="66"/>
  <c r="D7" i="66"/>
  <c r="K47" i="67" l="1"/>
  <c r="I46" i="67"/>
  <c r="L47" i="67" s="1"/>
  <c r="Y35" i="67"/>
  <c r="AB35" i="67" s="1"/>
  <c r="AB26" i="67"/>
  <c r="AA26" i="67"/>
  <c r="X35" i="67"/>
  <c r="I13" i="67"/>
  <c r="L14" i="67" s="1"/>
  <c r="K14" i="67"/>
  <c r="W35" i="67"/>
  <c r="Z35" i="67" s="1"/>
  <c r="Z26" i="67"/>
  <c r="Q46" i="67"/>
  <c r="T47" i="67" s="1"/>
  <c r="S47" i="67"/>
  <c r="S32" i="67"/>
  <c r="Q31" i="67"/>
  <c r="T32" i="67" s="1"/>
  <c r="K41" i="67"/>
  <c r="I40" i="67"/>
  <c r="L41" i="67" s="1"/>
  <c r="AA32" i="67"/>
  <c r="Y31" i="67"/>
  <c r="AB32" i="67" s="1"/>
  <c r="K32" i="67"/>
  <c r="I31" i="67"/>
  <c r="L32" i="67" s="1"/>
  <c r="AA23" i="67"/>
  <c r="Y22" i="67"/>
  <c r="AB23" i="67" s="1"/>
  <c r="K23" i="67"/>
  <c r="I22" i="67"/>
  <c r="L23" i="67" s="1"/>
  <c r="AA14" i="67"/>
  <c r="Y13" i="67"/>
  <c r="AB14" i="67" s="1"/>
  <c r="Q40" i="67"/>
  <c r="T41" i="67" s="1"/>
  <c r="S41" i="67"/>
  <c r="Q22" i="67"/>
  <c r="T23" i="67" s="1"/>
  <c r="S23" i="67"/>
  <c r="K12" i="66"/>
  <c r="Z15" i="66"/>
  <c r="AB15" i="66"/>
  <c r="Z16" i="66"/>
  <c r="AB16" i="66"/>
  <c r="AA17" i="66"/>
  <c r="Z19" i="66"/>
  <c r="AB19" i="66"/>
  <c r="AA20" i="66"/>
  <c r="AA21" i="66"/>
  <c r="Z24" i="66"/>
  <c r="AB24" i="66"/>
  <c r="Z25" i="66"/>
  <c r="AB25" i="66"/>
  <c r="Z27" i="66"/>
  <c r="AB27" i="66"/>
  <c r="Z29" i="66"/>
  <c r="AB29" i="66"/>
  <c r="Z30" i="66"/>
  <c r="AB30" i="66"/>
  <c r="AA33" i="66"/>
  <c r="AA34" i="66"/>
  <c r="AA36" i="66"/>
  <c r="J44" i="66"/>
  <c r="L44" i="66"/>
  <c r="R44" i="66"/>
  <c r="T44" i="66"/>
  <c r="R50" i="66"/>
  <c r="T50" i="66"/>
  <c r="X35" i="66"/>
  <c r="V35" i="66"/>
  <c r="J35" i="66"/>
  <c r="L35" i="66"/>
  <c r="W35" i="66"/>
  <c r="R35" i="66"/>
  <c r="Y35" i="66"/>
  <c r="AB35" i="66" s="1"/>
  <c r="T35" i="66"/>
  <c r="AA35" i="66"/>
  <c r="Z18" i="66"/>
  <c r="AA19" i="66"/>
  <c r="J26" i="66"/>
  <c r="L26" i="66"/>
  <c r="S26" i="66"/>
  <c r="V26" i="66"/>
  <c r="X26" i="66"/>
  <c r="AA27" i="66"/>
  <c r="AB28" i="66"/>
  <c r="J50" i="66"/>
  <c r="S50" i="66"/>
  <c r="K26" i="66"/>
  <c r="R26" i="66"/>
  <c r="T26" i="66"/>
  <c r="W26" i="66"/>
  <c r="Z26" i="66" s="1"/>
  <c r="Y26" i="66"/>
  <c r="Q50" i="65"/>
  <c r="T50" i="65" s="1"/>
  <c r="P50" i="65"/>
  <c r="S50" i="65" s="1"/>
  <c r="O50" i="65"/>
  <c r="N50" i="65"/>
  <c r="R50" i="65" s="1"/>
  <c r="I50" i="65"/>
  <c r="H50" i="65"/>
  <c r="K50" i="65" s="1"/>
  <c r="G50" i="65"/>
  <c r="J50" i="65" s="1"/>
  <c r="F50" i="65"/>
  <c r="T49" i="65"/>
  <c r="S49" i="65"/>
  <c r="R49" i="65"/>
  <c r="L49" i="65"/>
  <c r="K49" i="65"/>
  <c r="J49" i="65"/>
  <c r="T48" i="65"/>
  <c r="S48" i="65"/>
  <c r="R48" i="65"/>
  <c r="L48" i="65"/>
  <c r="K48" i="65"/>
  <c r="J48" i="65"/>
  <c r="N46" i="65"/>
  <c r="O46" i="65" s="1"/>
  <c r="F46" i="65"/>
  <c r="G46" i="65" s="1"/>
  <c r="Q44" i="65"/>
  <c r="T44" i="65" s="1"/>
  <c r="P44" i="65"/>
  <c r="S44" i="65" s="1"/>
  <c r="O44" i="65"/>
  <c r="N44" i="65"/>
  <c r="R44" i="65" s="1"/>
  <c r="I44" i="65"/>
  <c r="H44" i="65"/>
  <c r="K44" i="65" s="1"/>
  <c r="G44" i="65"/>
  <c r="J44" i="65" s="1"/>
  <c r="F44" i="65"/>
  <c r="T43" i="65"/>
  <c r="S43" i="65"/>
  <c r="R43" i="65"/>
  <c r="L43" i="65"/>
  <c r="K43" i="65"/>
  <c r="J43" i="65"/>
  <c r="T42" i="65"/>
  <c r="S42" i="65"/>
  <c r="R42" i="65"/>
  <c r="L42" i="65"/>
  <c r="K42" i="65"/>
  <c r="J42" i="65"/>
  <c r="N40" i="65"/>
  <c r="O40" i="65" s="1"/>
  <c r="F40" i="65"/>
  <c r="G40" i="65" s="1"/>
  <c r="AB36" i="65"/>
  <c r="AA36" i="65"/>
  <c r="Z36" i="65"/>
  <c r="T36" i="65"/>
  <c r="S36" i="65"/>
  <c r="R36" i="65"/>
  <c r="L36" i="65"/>
  <c r="K36" i="65"/>
  <c r="J36" i="65"/>
  <c r="AB35" i="65"/>
  <c r="AA35" i="65"/>
  <c r="Z35" i="65"/>
  <c r="Q35" i="65"/>
  <c r="T35" i="65" s="1"/>
  <c r="P35" i="65"/>
  <c r="S35" i="65" s="1"/>
  <c r="O35" i="65"/>
  <c r="R35" i="65" s="1"/>
  <c r="N35" i="65"/>
  <c r="I35" i="65"/>
  <c r="H35" i="65"/>
  <c r="K35" i="65" s="1"/>
  <c r="G35" i="65"/>
  <c r="J35" i="65" s="1"/>
  <c r="F35" i="65"/>
  <c r="Y34" i="65"/>
  <c r="AB34" i="65" s="1"/>
  <c r="X34" i="65"/>
  <c r="W34" i="65"/>
  <c r="Z34" i="65" s="1"/>
  <c r="V34" i="65"/>
  <c r="T34" i="65"/>
  <c r="S34" i="65"/>
  <c r="R34" i="65"/>
  <c r="L34" i="65"/>
  <c r="K34" i="65"/>
  <c r="J34" i="65"/>
  <c r="Y33" i="65"/>
  <c r="X33" i="65"/>
  <c r="AA33" i="65" s="1"/>
  <c r="W33" i="65"/>
  <c r="V33" i="65"/>
  <c r="Z33" i="65" s="1"/>
  <c r="T33" i="65"/>
  <c r="S33" i="65"/>
  <c r="R33" i="65"/>
  <c r="L33" i="65"/>
  <c r="K33" i="65"/>
  <c r="J33" i="65"/>
  <c r="W31" i="65"/>
  <c r="Z32" i="65" s="1"/>
  <c r="V31" i="65"/>
  <c r="O31" i="65"/>
  <c r="R32" i="65" s="1"/>
  <c r="N31" i="65"/>
  <c r="G31" i="65"/>
  <c r="J32" i="65" s="1"/>
  <c r="F31" i="65"/>
  <c r="Y30" i="65"/>
  <c r="X30" i="65"/>
  <c r="AB30" i="65" s="1"/>
  <c r="W30" i="65"/>
  <c r="V30" i="65"/>
  <c r="Z30" i="65" s="1"/>
  <c r="T30" i="65"/>
  <c r="S30" i="65"/>
  <c r="R30" i="65"/>
  <c r="L30" i="65"/>
  <c r="K30" i="65"/>
  <c r="J30" i="65"/>
  <c r="Y29" i="65"/>
  <c r="AB29" i="65" s="1"/>
  <c r="X29" i="65"/>
  <c r="W29" i="65"/>
  <c r="Z29" i="65" s="1"/>
  <c r="V29" i="65"/>
  <c r="T29" i="65"/>
  <c r="S29" i="65"/>
  <c r="R29" i="65"/>
  <c r="L29" i="65"/>
  <c r="K29" i="65"/>
  <c r="J29" i="65"/>
  <c r="Y28" i="65"/>
  <c r="X28" i="65"/>
  <c r="AA28" i="65" s="1"/>
  <c r="W28" i="65"/>
  <c r="V28" i="65"/>
  <c r="Z28" i="65" s="1"/>
  <c r="T28" i="65"/>
  <c r="S28" i="65"/>
  <c r="R28" i="65"/>
  <c r="L28" i="65"/>
  <c r="K28" i="65"/>
  <c r="J28" i="65"/>
  <c r="Y27" i="65"/>
  <c r="AB27" i="65" s="1"/>
  <c r="X27" i="65"/>
  <c r="W27" i="65"/>
  <c r="AA27" i="65" s="1"/>
  <c r="V27" i="65"/>
  <c r="T27" i="65"/>
  <c r="S27" i="65"/>
  <c r="R27" i="65"/>
  <c r="L27" i="65"/>
  <c r="K27" i="65"/>
  <c r="J27" i="65"/>
  <c r="Q26" i="65"/>
  <c r="P26" i="65"/>
  <c r="S26" i="65" s="1"/>
  <c r="O26" i="65"/>
  <c r="N26" i="65"/>
  <c r="R26" i="65" s="1"/>
  <c r="G26" i="65"/>
  <c r="J26" i="65" s="1"/>
  <c r="Y25" i="65"/>
  <c r="AB25" i="65" s="1"/>
  <c r="W25" i="65"/>
  <c r="X25" i="65" s="1"/>
  <c r="V25" i="65"/>
  <c r="T25" i="65"/>
  <c r="S25" i="65"/>
  <c r="R25" i="65"/>
  <c r="J25" i="65"/>
  <c r="AA24" i="65"/>
  <c r="V24" i="65"/>
  <c r="Z24" i="65" s="1"/>
  <c r="T24" i="65"/>
  <c r="P24" i="65"/>
  <c r="S24" i="65" s="1"/>
  <c r="O24" i="65"/>
  <c r="R24" i="65" s="1"/>
  <c r="J24" i="65"/>
  <c r="I24" i="65"/>
  <c r="V22" i="65"/>
  <c r="W22" i="65" s="1"/>
  <c r="N22" i="65"/>
  <c r="O22" i="65" s="1"/>
  <c r="F22" i="65"/>
  <c r="G22" i="65" s="1"/>
  <c r="Y21" i="65"/>
  <c r="AB21" i="65" s="1"/>
  <c r="X21" i="65"/>
  <c r="W21" i="65"/>
  <c r="Z21" i="65" s="1"/>
  <c r="V21" i="65"/>
  <c r="T21" i="65"/>
  <c r="S21" i="65"/>
  <c r="R21" i="65"/>
  <c r="L21" i="65"/>
  <c r="K21" i="65"/>
  <c r="J21" i="65"/>
  <c r="Y20" i="65"/>
  <c r="X20" i="65"/>
  <c r="AA20" i="65" s="1"/>
  <c r="W20" i="65"/>
  <c r="V20" i="65"/>
  <c r="Z20" i="65" s="1"/>
  <c r="T20" i="65"/>
  <c r="S20" i="65"/>
  <c r="R20" i="65"/>
  <c r="L20" i="65"/>
  <c r="K20" i="65"/>
  <c r="J20" i="65"/>
  <c r="Y19" i="65"/>
  <c r="AB19" i="65" s="1"/>
  <c r="X19" i="65"/>
  <c r="W19" i="65"/>
  <c r="AA19" i="65" s="1"/>
  <c r="V19" i="65"/>
  <c r="T19" i="65"/>
  <c r="S19" i="65"/>
  <c r="R19" i="65"/>
  <c r="L19" i="65"/>
  <c r="K19" i="65"/>
  <c r="J19" i="65"/>
  <c r="Y18" i="65"/>
  <c r="X18" i="65"/>
  <c r="AB18" i="65" s="1"/>
  <c r="W18" i="65"/>
  <c r="V18" i="65"/>
  <c r="Z18" i="65" s="1"/>
  <c r="T18" i="65"/>
  <c r="S18" i="65"/>
  <c r="R18" i="65"/>
  <c r="L18" i="65"/>
  <c r="K18" i="65"/>
  <c r="J18" i="65"/>
  <c r="Y17" i="65"/>
  <c r="AB17" i="65" s="1"/>
  <c r="Q17" i="65"/>
  <c r="P17" i="65"/>
  <c r="T17" i="65" s="1"/>
  <c r="O17" i="65"/>
  <c r="N17" i="65"/>
  <c r="R17" i="65" s="1"/>
  <c r="M17" i="65"/>
  <c r="H17" i="65"/>
  <c r="K17" i="65" s="1"/>
  <c r="G17" i="65"/>
  <c r="F17" i="65"/>
  <c r="J17" i="65" s="1"/>
  <c r="AB16" i="65"/>
  <c r="AA16" i="65"/>
  <c r="W16" i="65"/>
  <c r="Z16" i="65" s="1"/>
  <c r="V16" i="65"/>
  <c r="T16" i="65"/>
  <c r="S16" i="65"/>
  <c r="R16" i="65"/>
  <c r="K16" i="65"/>
  <c r="J16" i="65"/>
  <c r="I16" i="65"/>
  <c r="L16" i="65" s="1"/>
  <c r="H16" i="65"/>
  <c r="AB15" i="65"/>
  <c r="X15" i="65"/>
  <c r="X17" i="65" s="1"/>
  <c r="W15" i="65"/>
  <c r="W17" i="65" s="1"/>
  <c r="V15" i="65"/>
  <c r="V17" i="65" s="1"/>
  <c r="T15" i="65"/>
  <c r="S15" i="65"/>
  <c r="R15" i="65"/>
  <c r="K15" i="65"/>
  <c r="J15" i="65"/>
  <c r="I15" i="65"/>
  <c r="I17" i="65" s="1"/>
  <c r="L17" i="65" s="1"/>
  <c r="H15" i="65"/>
  <c r="V13" i="65"/>
  <c r="W13" i="65" s="1"/>
  <c r="N13" i="65"/>
  <c r="O13" i="65" s="1"/>
  <c r="F13" i="65"/>
  <c r="G13" i="65" s="1"/>
  <c r="G12" i="65"/>
  <c r="J12" i="65" s="1"/>
  <c r="F12" i="65"/>
  <c r="J11" i="65"/>
  <c r="H11" i="65"/>
  <c r="K11" i="65" s="1"/>
  <c r="K10" i="65"/>
  <c r="J10" i="65"/>
  <c r="H10" i="65"/>
  <c r="H12" i="65" s="1"/>
  <c r="K12" i="65" s="1"/>
  <c r="L9" i="65"/>
  <c r="K9" i="65"/>
  <c r="J9" i="65"/>
  <c r="J8" i="65"/>
  <c r="G7" i="65"/>
  <c r="H7" i="65" s="1"/>
  <c r="D7" i="65"/>
  <c r="AA35" i="67" l="1"/>
  <c r="AB26" i="66"/>
  <c r="Z35" i="66"/>
  <c r="AA26" i="66"/>
  <c r="Z14" i="65"/>
  <c r="X13" i="65"/>
  <c r="H40" i="65"/>
  <c r="J41" i="65"/>
  <c r="Z17" i="65"/>
  <c r="R23" i="65"/>
  <c r="P22" i="65"/>
  <c r="R41" i="65"/>
  <c r="P40" i="65"/>
  <c r="J23" i="65"/>
  <c r="H22" i="65"/>
  <c r="K8" i="65"/>
  <c r="I7" i="65"/>
  <c r="L8" i="65" s="1"/>
  <c r="H13" i="65"/>
  <c r="J14" i="65"/>
  <c r="AA17" i="65"/>
  <c r="Z23" i="65"/>
  <c r="X22" i="65"/>
  <c r="H46" i="65"/>
  <c r="J47" i="65"/>
  <c r="R14" i="65"/>
  <c r="P13" i="65"/>
  <c r="X26" i="65"/>
  <c r="AA26" i="65" s="1"/>
  <c r="AA25" i="65"/>
  <c r="H25" i="65"/>
  <c r="R47" i="65"/>
  <c r="P46" i="65"/>
  <c r="Z15" i="65"/>
  <c r="AB20" i="65"/>
  <c r="AA21" i="65"/>
  <c r="T26" i="65"/>
  <c r="AB28" i="65"/>
  <c r="AA29" i="65"/>
  <c r="AB33" i="65"/>
  <c r="AA34" i="65"/>
  <c r="L35" i="65"/>
  <c r="L44" i="65"/>
  <c r="L50" i="65"/>
  <c r="I11" i="65"/>
  <c r="L15" i="65"/>
  <c r="AA15" i="65"/>
  <c r="S17" i="65"/>
  <c r="AA18" i="65"/>
  <c r="Z19" i="65"/>
  <c r="Z25" i="65"/>
  <c r="V26" i="65"/>
  <c r="Z26" i="65" s="1"/>
  <c r="Z27" i="65"/>
  <c r="AA30" i="65"/>
  <c r="H31" i="65"/>
  <c r="P31" i="65"/>
  <c r="X31" i="65"/>
  <c r="Y24" i="65"/>
  <c r="I26" i="65"/>
  <c r="L10" i="65"/>
  <c r="H24" i="65"/>
  <c r="L24" i="65" s="1"/>
  <c r="Q50" i="64"/>
  <c r="T50" i="64" s="1"/>
  <c r="P50" i="64"/>
  <c r="O50" i="64"/>
  <c r="S50" i="64" s="1"/>
  <c r="N50" i="64"/>
  <c r="I50" i="64"/>
  <c r="H50" i="64"/>
  <c r="K50" i="64" s="1"/>
  <c r="G50" i="64"/>
  <c r="F50" i="64"/>
  <c r="J50" i="64" s="1"/>
  <c r="T49" i="64"/>
  <c r="S49" i="64"/>
  <c r="R49" i="64"/>
  <c r="L49" i="64"/>
  <c r="K49" i="64"/>
  <c r="J49" i="64"/>
  <c r="T48" i="64"/>
  <c r="S48" i="64"/>
  <c r="R48" i="64"/>
  <c r="L48" i="64"/>
  <c r="K48" i="64"/>
  <c r="J48" i="64"/>
  <c r="N46" i="64"/>
  <c r="O46" i="64" s="1"/>
  <c r="F46" i="64"/>
  <c r="G46" i="64" s="1"/>
  <c r="Q44" i="64"/>
  <c r="T44" i="64" s="1"/>
  <c r="P44" i="64"/>
  <c r="O44" i="64"/>
  <c r="S44" i="64" s="1"/>
  <c r="N44" i="64"/>
  <c r="I44" i="64"/>
  <c r="H44" i="64"/>
  <c r="K44" i="64" s="1"/>
  <c r="G44" i="64"/>
  <c r="F44" i="64"/>
  <c r="J44" i="64" s="1"/>
  <c r="T43" i="64"/>
  <c r="S43" i="64"/>
  <c r="R43" i="64"/>
  <c r="L43" i="64"/>
  <c r="K43" i="64"/>
  <c r="J43" i="64"/>
  <c r="T42" i="64"/>
  <c r="S42" i="64"/>
  <c r="R42" i="64"/>
  <c r="L42" i="64"/>
  <c r="K42" i="64"/>
  <c r="J42" i="64"/>
  <c r="N40" i="64"/>
  <c r="O40" i="64" s="1"/>
  <c r="F40" i="64"/>
  <c r="G40" i="64" s="1"/>
  <c r="Y36" i="64"/>
  <c r="AB36" i="64" s="1"/>
  <c r="X36" i="64"/>
  <c r="W36" i="64"/>
  <c r="AA36" i="64" s="1"/>
  <c r="V36" i="64"/>
  <c r="T36" i="64"/>
  <c r="S36" i="64"/>
  <c r="R36" i="64"/>
  <c r="L36" i="64"/>
  <c r="K36" i="64"/>
  <c r="J36" i="64"/>
  <c r="V35" i="64"/>
  <c r="Q35" i="64"/>
  <c r="T35" i="64" s="1"/>
  <c r="P35" i="64"/>
  <c r="O35" i="64"/>
  <c r="S35" i="64" s="1"/>
  <c r="N35" i="64"/>
  <c r="I35" i="64"/>
  <c r="H35" i="64"/>
  <c r="K35" i="64" s="1"/>
  <c r="G35" i="64"/>
  <c r="F35" i="64"/>
  <c r="J35" i="64" s="1"/>
  <c r="Y34" i="64"/>
  <c r="AB34" i="64" s="1"/>
  <c r="X34" i="64"/>
  <c r="W34" i="64"/>
  <c r="Z34" i="64" s="1"/>
  <c r="V34" i="64"/>
  <c r="T34" i="64"/>
  <c r="S34" i="64"/>
  <c r="R34" i="64"/>
  <c r="L34" i="64"/>
  <c r="K34" i="64"/>
  <c r="J34" i="64"/>
  <c r="Y33" i="64"/>
  <c r="Y35" i="64" s="1"/>
  <c r="X33" i="64"/>
  <c r="AA33" i="64" s="1"/>
  <c r="W33" i="64"/>
  <c r="W35" i="64" s="1"/>
  <c r="Z35" i="64" s="1"/>
  <c r="V33" i="64"/>
  <c r="Z33" i="64" s="1"/>
  <c r="T33" i="64"/>
  <c r="S33" i="64"/>
  <c r="R33" i="64"/>
  <c r="L33" i="64"/>
  <c r="K33" i="64"/>
  <c r="J33" i="64"/>
  <c r="W31" i="64"/>
  <c r="Z32" i="64" s="1"/>
  <c r="V31" i="64"/>
  <c r="O31" i="64"/>
  <c r="R32" i="64" s="1"/>
  <c r="N31" i="64"/>
  <c r="G31" i="64"/>
  <c r="J32" i="64" s="1"/>
  <c r="F31" i="64"/>
  <c r="Y30" i="64"/>
  <c r="X30" i="64"/>
  <c r="AB30" i="64" s="1"/>
  <c r="W30" i="64"/>
  <c r="V30" i="64"/>
  <c r="Z30" i="64" s="1"/>
  <c r="T30" i="64"/>
  <c r="S30" i="64"/>
  <c r="R30" i="64"/>
  <c r="L30" i="64"/>
  <c r="K30" i="64"/>
  <c r="J30" i="64"/>
  <c r="Y29" i="64"/>
  <c r="AB29" i="64" s="1"/>
  <c r="X29" i="64"/>
  <c r="W29" i="64"/>
  <c r="Z29" i="64" s="1"/>
  <c r="V29" i="64"/>
  <c r="T29" i="64"/>
  <c r="S29" i="64"/>
  <c r="R29" i="64"/>
  <c r="L29" i="64"/>
  <c r="K29" i="64"/>
  <c r="J29" i="64"/>
  <c r="Y28" i="64"/>
  <c r="X28" i="64"/>
  <c r="AA28" i="64" s="1"/>
  <c r="W28" i="64"/>
  <c r="V28" i="64"/>
  <c r="Z28" i="64" s="1"/>
  <c r="T28" i="64"/>
  <c r="S28" i="64"/>
  <c r="R28" i="64"/>
  <c r="L28" i="64"/>
  <c r="K28" i="64"/>
  <c r="J28" i="64"/>
  <c r="Y27" i="64"/>
  <c r="AB27" i="64" s="1"/>
  <c r="X27" i="64"/>
  <c r="W27" i="64"/>
  <c r="AA27" i="64" s="1"/>
  <c r="V27" i="64"/>
  <c r="T27" i="64"/>
  <c r="S27" i="64"/>
  <c r="R27" i="64"/>
  <c r="L27" i="64"/>
  <c r="K27" i="64"/>
  <c r="J27" i="64"/>
  <c r="V26" i="64"/>
  <c r="Q26" i="64"/>
  <c r="T26" i="64" s="1"/>
  <c r="P26" i="64"/>
  <c r="O26" i="64"/>
  <c r="S26" i="64" s="1"/>
  <c r="N26" i="64"/>
  <c r="I26" i="64"/>
  <c r="H26" i="64"/>
  <c r="K26" i="64" s="1"/>
  <c r="G26" i="64"/>
  <c r="F26" i="64"/>
  <c r="J26" i="64" s="1"/>
  <c r="Y25" i="64"/>
  <c r="AB25" i="64" s="1"/>
  <c r="X25" i="64"/>
  <c r="W25" i="64"/>
  <c r="Z25" i="64" s="1"/>
  <c r="V25" i="64"/>
  <c r="T25" i="64"/>
  <c r="S25" i="64"/>
  <c r="R25" i="64"/>
  <c r="L25" i="64"/>
  <c r="K25" i="64"/>
  <c r="J25" i="64"/>
  <c r="Y24" i="64"/>
  <c r="Y26" i="64" s="1"/>
  <c r="X24" i="64"/>
  <c r="AA24" i="64" s="1"/>
  <c r="W24" i="64"/>
  <c r="W26" i="64" s="1"/>
  <c r="Z26" i="64" s="1"/>
  <c r="V24" i="64"/>
  <c r="Z24" i="64" s="1"/>
  <c r="T24" i="64"/>
  <c r="S24" i="64"/>
  <c r="R24" i="64"/>
  <c r="L24" i="64"/>
  <c r="K24" i="64"/>
  <c r="J24" i="64"/>
  <c r="W22" i="64"/>
  <c r="Z23" i="64" s="1"/>
  <c r="V22" i="64"/>
  <c r="O22" i="64"/>
  <c r="R23" i="64" s="1"/>
  <c r="N22" i="64"/>
  <c r="G22" i="64"/>
  <c r="J23" i="64" s="1"/>
  <c r="F22" i="64"/>
  <c r="Y21" i="64"/>
  <c r="X21" i="64"/>
  <c r="AB21" i="64" s="1"/>
  <c r="W21" i="64"/>
  <c r="V21" i="64"/>
  <c r="Z21" i="64" s="1"/>
  <c r="T21" i="64"/>
  <c r="S21" i="64"/>
  <c r="R21" i="64"/>
  <c r="L21" i="64"/>
  <c r="K21" i="64"/>
  <c r="J21" i="64"/>
  <c r="Y20" i="64"/>
  <c r="AB20" i="64" s="1"/>
  <c r="X20" i="64"/>
  <c r="W20" i="64"/>
  <c r="Z20" i="64" s="1"/>
  <c r="V20" i="64"/>
  <c r="T20" i="64"/>
  <c r="S20" i="64"/>
  <c r="R20" i="64"/>
  <c r="L20" i="64"/>
  <c r="K20" i="64"/>
  <c r="J20" i="64"/>
  <c r="Y19" i="64"/>
  <c r="X19" i="64"/>
  <c r="AA19" i="64" s="1"/>
  <c r="W19" i="64"/>
  <c r="V19" i="64"/>
  <c r="Z19" i="64" s="1"/>
  <c r="T19" i="64"/>
  <c r="S19" i="64"/>
  <c r="R19" i="64"/>
  <c r="L19" i="64"/>
  <c r="K19" i="64"/>
  <c r="J19" i="64"/>
  <c r="Y18" i="64"/>
  <c r="AB18" i="64" s="1"/>
  <c r="X18" i="64"/>
  <c r="W18" i="64"/>
  <c r="AA18" i="64" s="1"/>
  <c r="V18" i="64"/>
  <c r="T18" i="64"/>
  <c r="S18" i="64"/>
  <c r="R18" i="64"/>
  <c r="L18" i="64"/>
  <c r="K18" i="64"/>
  <c r="J18" i="64"/>
  <c r="V17" i="64"/>
  <c r="Q17" i="64"/>
  <c r="T17" i="64" s="1"/>
  <c r="P17" i="64"/>
  <c r="O17" i="64"/>
  <c r="S17" i="64" s="1"/>
  <c r="N17" i="64"/>
  <c r="M17" i="64"/>
  <c r="I17" i="64"/>
  <c r="L17" i="64" s="1"/>
  <c r="H17" i="64"/>
  <c r="G17" i="64"/>
  <c r="K17" i="64" s="1"/>
  <c r="F17" i="64"/>
  <c r="Y16" i="64"/>
  <c r="X16" i="64"/>
  <c r="AA16" i="64" s="1"/>
  <c r="W16" i="64"/>
  <c r="V16" i="64"/>
  <c r="Z16" i="64" s="1"/>
  <c r="T16" i="64"/>
  <c r="S16" i="64"/>
  <c r="R16" i="64"/>
  <c r="L16" i="64"/>
  <c r="K16" i="64"/>
  <c r="J16" i="64"/>
  <c r="Y15" i="64"/>
  <c r="Y17" i="64" s="1"/>
  <c r="X15" i="64"/>
  <c r="X17" i="64" s="1"/>
  <c r="W15" i="64"/>
  <c r="AA15" i="64" s="1"/>
  <c r="V15" i="64"/>
  <c r="T15" i="64"/>
  <c r="S15" i="64"/>
  <c r="R15" i="64"/>
  <c r="L15" i="64"/>
  <c r="K15" i="64"/>
  <c r="J15" i="64"/>
  <c r="V13" i="64"/>
  <c r="W13" i="64" s="1"/>
  <c r="N13" i="64"/>
  <c r="O13" i="64" s="1"/>
  <c r="F13" i="64"/>
  <c r="G13" i="64" s="1"/>
  <c r="I12" i="64"/>
  <c r="L12" i="64" s="1"/>
  <c r="H12" i="64"/>
  <c r="G12" i="64"/>
  <c r="J12" i="64" s="1"/>
  <c r="F12" i="64"/>
  <c r="L11" i="64"/>
  <c r="K11" i="64"/>
  <c r="J11" i="64"/>
  <c r="L10" i="64"/>
  <c r="K10" i="64"/>
  <c r="J10" i="64"/>
  <c r="L9" i="64"/>
  <c r="K9" i="64"/>
  <c r="J9" i="64"/>
  <c r="G7" i="64"/>
  <c r="J8" i="64" s="1"/>
  <c r="D7" i="64"/>
  <c r="Q50" i="63"/>
  <c r="T50" i="63" s="1"/>
  <c r="P50" i="63"/>
  <c r="S50" i="63" s="1"/>
  <c r="O50" i="63"/>
  <c r="R50" i="63" s="1"/>
  <c r="N50" i="63"/>
  <c r="I50" i="63"/>
  <c r="H50" i="63"/>
  <c r="K50" i="63" s="1"/>
  <c r="G50" i="63"/>
  <c r="J50" i="63" s="1"/>
  <c r="F50" i="63"/>
  <c r="T49" i="63"/>
  <c r="S49" i="63"/>
  <c r="R49" i="63"/>
  <c r="L49" i="63"/>
  <c r="K49" i="63"/>
  <c r="J49" i="63"/>
  <c r="T48" i="63"/>
  <c r="S48" i="63"/>
  <c r="R48" i="63"/>
  <c r="L48" i="63"/>
  <c r="K48" i="63"/>
  <c r="J48" i="63"/>
  <c r="N46" i="63"/>
  <c r="O46" i="63" s="1"/>
  <c r="F46" i="63"/>
  <c r="G46" i="63" s="1"/>
  <c r="Q44" i="63"/>
  <c r="T44" i="63" s="1"/>
  <c r="P44" i="63"/>
  <c r="O44" i="63"/>
  <c r="S44" i="63" s="1"/>
  <c r="N44" i="63"/>
  <c r="I44" i="63"/>
  <c r="L44" i="63" s="1"/>
  <c r="H44" i="63"/>
  <c r="K44" i="63" s="1"/>
  <c r="G44" i="63"/>
  <c r="F44" i="63"/>
  <c r="J44" i="63" s="1"/>
  <c r="T43" i="63"/>
  <c r="S43" i="63"/>
  <c r="R43" i="63"/>
  <c r="L43" i="63"/>
  <c r="K43" i="63"/>
  <c r="J43" i="63"/>
  <c r="T42" i="63"/>
  <c r="S42" i="63"/>
  <c r="R42" i="63"/>
  <c r="L42" i="63"/>
  <c r="K42" i="63"/>
  <c r="J42" i="63"/>
  <c r="O40" i="63"/>
  <c r="R41" i="63" s="1"/>
  <c r="N40" i="63"/>
  <c r="G40" i="63"/>
  <c r="H40" i="63" s="1"/>
  <c r="F40" i="63"/>
  <c r="L37" i="63"/>
  <c r="K37" i="63"/>
  <c r="J37" i="63"/>
  <c r="Y36" i="63"/>
  <c r="AB36" i="63" s="1"/>
  <c r="X36" i="63"/>
  <c r="AA36" i="63" s="1"/>
  <c r="W36" i="63"/>
  <c r="V36" i="63"/>
  <c r="Z36" i="63" s="1"/>
  <c r="T36" i="63"/>
  <c r="S36" i="63"/>
  <c r="R36" i="63"/>
  <c r="L36" i="63"/>
  <c r="K36" i="63"/>
  <c r="J36" i="63"/>
  <c r="Q35" i="63"/>
  <c r="T35" i="63" s="1"/>
  <c r="P35" i="63"/>
  <c r="S35" i="63" s="1"/>
  <c r="O35" i="63"/>
  <c r="N35" i="63"/>
  <c r="R35" i="63" s="1"/>
  <c r="L35" i="63"/>
  <c r="K35" i="63"/>
  <c r="J35" i="63"/>
  <c r="W34" i="63"/>
  <c r="T34" i="63"/>
  <c r="S34" i="63"/>
  <c r="R34" i="63"/>
  <c r="I34" i="63"/>
  <c r="Y34" i="63" s="1"/>
  <c r="H34" i="63"/>
  <c r="K34" i="63" s="1"/>
  <c r="G34" i="63"/>
  <c r="F34" i="63"/>
  <c r="J34" i="63" s="1"/>
  <c r="Y33" i="63"/>
  <c r="Y35" i="63" s="1"/>
  <c r="X33" i="63"/>
  <c r="T33" i="63"/>
  <c r="S33" i="63"/>
  <c r="R33" i="63"/>
  <c r="I33" i="63"/>
  <c r="L33" i="63" s="1"/>
  <c r="H33" i="63"/>
  <c r="G33" i="63"/>
  <c r="K33" i="63" s="1"/>
  <c r="F33" i="63"/>
  <c r="V33" i="63" s="1"/>
  <c r="X31" i="63"/>
  <c r="AA32" i="63" s="1"/>
  <c r="W31" i="63"/>
  <c r="Z32" i="63" s="1"/>
  <c r="V31" i="63"/>
  <c r="P31" i="63"/>
  <c r="Q31" i="63" s="1"/>
  <c r="T32" i="63" s="1"/>
  <c r="O31" i="63"/>
  <c r="R32" i="63" s="1"/>
  <c r="N31" i="63"/>
  <c r="H31" i="63"/>
  <c r="I31" i="63" s="1"/>
  <c r="L32" i="63" s="1"/>
  <c r="G31" i="63"/>
  <c r="J32" i="63" s="1"/>
  <c r="F31" i="63"/>
  <c r="Y30" i="63"/>
  <c r="AB30" i="63" s="1"/>
  <c r="X30" i="63"/>
  <c r="W30" i="63"/>
  <c r="AA30" i="63" s="1"/>
  <c r="V30" i="63"/>
  <c r="T30" i="63"/>
  <c r="S30" i="63"/>
  <c r="R30" i="63"/>
  <c r="L30" i="63"/>
  <c r="K30" i="63"/>
  <c r="J30" i="63"/>
  <c r="Y29" i="63"/>
  <c r="X29" i="63"/>
  <c r="AB29" i="63" s="1"/>
  <c r="W29" i="63"/>
  <c r="Z29" i="63" s="1"/>
  <c r="V29" i="63"/>
  <c r="T29" i="63"/>
  <c r="S29" i="63"/>
  <c r="R29" i="63"/>
  <c r="L29" i="63"/>
  <c r="K29" i="63"/>
  <c r="J29" i="63"/>
  <c r="Y28" i="63"/>
  <c r="AB28" i="63" s="1"/>
  <c r="X28" i="63"/>
  <c r="AA28" i="63" s="1"/>
  <c r="W28" i="63"/>
  <c r="Z28" i="63" s="1"/>
  <c r="V28" i="63"/>
  <c r="T28" i="63"/>
  <c r="S28" i="63"/>
  <c r="R28" i="63"/>
  <c r="L28" i="63"/>
  <c r="K28" i="63"/>
  <c r="J28" i="63"/>
  <c r="Y27" i="63"/>
  <c r="AB27" i="63" s="1"/>
  <c r="X27" i="63"/>
  <c r="AA27" i="63" s="1"/>
  <c r="W27" i="63"/>
  <c r="V27" i="63"/>
  <c r="Z27" i="63" s="1"/>
  <c r="T27" i="63"/>
  <c r="S27" i="63"/>
  <c r="R27" i="63"/>
  <c r="L27" i="63"/>
  <c r="K27" i="63"/>
  <c r="J27" i="63"/>
  <c r="W26" i="63"/>
  <c r="Z26" i="63" s="1"/>
  <c r="V26" i="63"/>
  <c r="Q26" i="63"/>
  <c r="T26" i="63" s="1"/>
  <c r="P26" i="63"/>
  <c r="S26" i="63" s="1"/>
  <c r="O26" i="63"/>
  <c r="N26" i="63"/>
  <c r="R26" i="63" s="1"/>
  <c r="I26" i="63"/>
  <c r="L26" i="63" s="1"/>
  <c r="H26" i="63"/>
  <c r="K26" i="63" s="1"/>
  <c r="G26" i="63"/>
  <c r="J26" i="63" s="1"/>
  <c r="F26" i="63"/>
  <c r="Y25" i="63"/>
  <c r="X25" i="63"/>
  <c r="AB25" i="63" s="1"/>
  <c r="W25" i="63"/>
  <c r="Z25" i="63" s="1"/>
  <c r="V25" i="63"/>
  <c r="T25" i="63"/>
  <c r="S25" i="63"/>
  <c r="R25" i="63"/>
  <c r="L25" i="63"/>
  <c r="K25" i="63"/>
  <c r="J25" i="63"/>
  <c r="Y24" i="63"/>
  <c r="AB24" i="63" s="1"/>
  <c r="X24" i="63"/>
  <c r="X26" i="63" s="1"/>
  <c r="AA26" i="63" s="1"/>
  <c r="W24" i="63"/>
  <c r="Z24" i="63" s="1"/>
  <c r="V24" i="63"/>
  <c r="T24" i="63"/>
  <c r="S24" i="63"/>
  <c r="R24" i="63"/>
  <c r="L24" i="63"/>
  <c r="K24" i="63"/>
  <c r="J24" i="63"/>
  <c r="Z23" i="63"/>
  <c r="X22" i="63"/>
  <c r="AA23" i="63" s="1"/>
  <c r="W22" i="63"/>
  <c r="V22" i="63"/>
  <c r="P22" i="63"/>
  <c r="Q22" i="63" s="1"/>
  <c r="T23" i="63" s="1"/>
  <c r="O22" i="63"/>
  <c r="R23" i="63" s="1"/>
  <c r="N22" i="63"/>
  <c r="H22" i="63"/>
  <c r="I22" i="63" s="1"/>
  <c r="L23" i="63" s="1"/>
  <c r="G22" i="63"/>
  <c r="J23" i="63" s="1"/>
  <c r="F22" i="63"/>
  <c r="Y21" i="63"/>
  <c r="AB21" i="63" s="1"/>
  <c r="X21" i="63"/>
  <c r="W21" i="63"/>
  <c r="AA21" i="63" s="1"/>
  <c r="V21" i="63"/>
  <c r="T21" i="63"/>
  <c r="S21" i="63"/>
  <c r="R21" i="63"/>
  <c r="L21" i="63"/>
  <c r="K21" i="63"/>
  <c r="J21" i="63"/>
  <c r="Y20" i="63"/>
  <c r="X20" i="63"/>
  <c r="AB20" i="63" s="1"/>
  <c r="W20" i="63"/>
  <c r="Z20" i="63" s="1"/>
  <c r="V20" i="63"/>
  <c r="T20" i="63"/>
  <c r="S20" i="63"/>
  <c r="R20" i="63"/>
  <c r="L20" i="63"/>
  <c r="K20" i="63"/>
  <c r="J20" i="63"/>
  <c r="Y19" i="63"/>
  <c r="AB19" i="63" s="1"/>
  <c r="X19" i="63"/>
  <c r="AA19" i="63" s="1"/>
  <c r="W19" i="63"/>
  <c r="Z19" i="63" s="1"/>
  <c r="V19" i="63"/>
  <c r="T19" i="63"/>
  <c r="S19" i="63"/>
  <c r="R19" i="63"/>
  <c r="L19" i="63"/>
  <c r="K19" i="63"/>
  <c r="J19" i="63"/>
  <c r="Y18" i="63"/>
  <c r="AB18" i="63" s="1"/>
  <c r="X18" i="63"/>
  <c r="AA18" i="63" s="1"/>
  <c r="W18" i="63"/>
  <c r="V18" i="63"/>
  <c r="Z18" i="63" s="1"/>
  <c r="T18" i="63"/>
  <c r="S18" i="63"/>
  <c r="R18" i="63"/>
  <c r="L18" i="63"/>
  <c r="K18" i="63"/>
  <c r="J18" i="63"/>
  <c r="W17" i="63"/>
  <c r="Q17" i="63"/>
  <c r="T17" i="63" s="1"/>
  <c r="P17" i="63"/>
  <c r="S17" i="63" s="1"/>
  <c r="O17" i="63"/>
  <c r="N17" i="63"/>
  <c r="R17" i="63" s="1"/>
  <c r="M17" i="63"/>
  <c r="I17" i="63"/>
  <c r="L17" i="63" s="1"/>
  <c r="H17" i="63"/>
  <c r="K17" i="63" s="1"/>
  <c r="G17" i="63"/>
  <c r="F17" i="63"/>
  <c r="J17" i="63" s="1"/>
  <c r="Y16" i="63"/>
  <c r="AB16" i="63" s="1"/>
  <c r="X16" i="63"/>
  <c r="AA16" i="63" s="1"/>
  <c r="W16" i="63"/>
  <c r="Z16" i="63" s="1"/>
  <c r="V16" i="63"/>
  <c r="T16" i="63"/>
  <c r="S16" i="63"/>
  <c r="R16" i="63"/>
  <c r="L16" i="63"/>
  <c r="K16" i="63"/>
  <c r="J16" i="63"/>
  <c r="Y15" i="63"/>
  <c r="Y17" i="63" s="1"/>
  <c r="X15" i="63"/>
  <c r="X17" i="63" s="1"/>
  <c r="AA17" i="63" s="1"/>
  <c r="W15" i="63"/>
  <c r="V15" i="63"/>
  <c r="Z15" i="63" s="1"/>
  <c r="T15" i="63"/>
  <c r="S15" i="63"/>
  <c r="R15" i="63"/>
  <c r="L15" i="63"/>
  <c r="K15" i="63"/>
  <c r="J15" i="63"/>
  <c r="AA14" i="63"/>
  <c r="Z14" i="63"/>
  <c r="R14" i="63"/>
  <c r="Y13" i="63"/>
  <c r="AB14" i="63" s="1"/>
  <c r="X13" i="63"/>
  <c r="W13" i="63"/>
  <c r="V13" i="63"/>
  <c r="Q13" i="63"/>
  <c r="T14" i="63" s="1"/>
  <c r="P13" i="63"/>
  <c r="S14" i="63" s="1"/>
  <c r="O13" i="63"/>
  <c r="N13" i="63"/>
  <c r="I13" i="63"/>
  <c r="L14" i="63" s="1"/>
  <c r="H13" i="63"/>
  <c r="K14" i="63" s="1"/>
  <c r="G13" i="63"/>
  <c r="J14" i="63" s="1"/>
  <c r="F13" i="63"/>
  <c r="I12" i="63"/>
  <c r="H12" i="63"/>
  <c r="L12" i="63" s="1"/>
  <c r="G12" i="63"/>
  <c r="J12" i="63" s="1"/>
  <c r="F12" i="63"/>
  <c r="L11" i="63"/>
  <c r="K11" i="63"/>
  <c r="J11" i="63"/>
  <c r="L10" i="63"/>
  <c r="K10" i="63"/>
  <c r="J10" i="63"/>
  <c r="L9" i="63"/>
  <c r="K9" i="63"/>
  <c r="J9" i="63"/>
  <c r="H7" i="63"/>
  <c r="I7" i="63" s="1"/>
  <c r="L8" i="63" s="1"/>
  <c r="G7" i="63"/>
  <c r="J8" i="63" s="1"/>
  <c r="D7" i="63"/>
  <c r="Q50" i="62"/>
  <c r="T50" i="62" s="1"/>
  <c r="P50" i="62"/>
  <c r="O50" i="62"/>
  <c r="S50" i="62" s="1"/>
  <c r="N50" i="62"/>
  <c r="T49" i="62"/>
  <c r="S49" i="62"/>
  <c r="R49" i="62"/>
  <c r="T48" i="62"/>
  <c r="S48" i="62"/>
  <c r="R48" i="62"/>
  <c r="N46" i="62"/>
  <c r="O46" i="62" s="1"/>
  <c r="F46" i="62"/>
  <c r="G46" i="62" s="1"/>
  <c r="Q44" i="62"/>
  <c r="T44" i="62" s="1"/>
  <c r="P44" i="62"/>
  <c r="S44" i="62" s="1"/>
  <c r="O44" i="62"/>
  <c r="N44" i="62"/>
  <c r="R44" i="62" s="1"/>
  <c r="I44" i="62"/>
  <c r="H44" i="62"/>
  <c r="L44" i="62" s="1"/>
  <c r="G44" i="62"/>
  <c r="J44" i="62" s="1"/>
  <c r="F44" i="62"/>
  <c r="T43" i="62"/>
  <c r="S43" i="62"/>
  <c r="R43" i="62"/>
  <c r="L43" i="62"/>
  <c r="K43" i="62"/>
  <c r="J43" i="62"/>
  <c r="T42" i="62"/>
  <c r="S42" i="62"/>
  <c r="R42" i="62"/>
  <c r="L42" i="62"/>
  <c r="K42" i="62"/>
  <c r="J42" i="62"/>
  <c r="N40" i="62"/>
  <c r="O40" i="62" s="1"/>
  <c r="F40" i="62"/>
  <c r="G40" i="62" s="1"/>
  <c r="AB36" i="62"/>
  <c r="AA36" i="62"/>
  <c r="Z36" i="62"/>
  <c r="T36" i="62"/>
  <c r="S36" i="62"/>
  <c r="R36" i="62"/>
  <c r="L36" i="62"/>
  <c r="K36" i="62"/>
  <c r="J36" i="62"/>
  <c r="Q35" i="62"/>
  <c r="T35" i="62" s="1"/>
  <c r="P35" i="62"/>
  <c r="O35" i="62"/>
  <c r="S35" i="62" s="1"/>
  <c r="N35" i="62"/>
  <c r="I35" i="62"/>
  <c r="H35" i="62"/>
  <c r="L35" i="62" s="1"/>
  <c r="G35" i="62"/>
  <c r="F35" i="62"/>
  <c r="J35" i="62" s="1"/>
  <c r="Y34" i="62"/>
  <c r="X34" i="62"/>
  <c r="AB34" i="62" s="1"/>
  <c r="W34" i="62"/>
  <c r="AA34" i="62" s="1"/>
  <c r="V34" i="62"/>
  <c r="T34" i="62"/>
  <c r="S34" i="62"/>
  <c r="R34" i="62"/>
  <c r="L34" i="62"/>
  <c r="K34" i="62"/>
  <c r="J34" i="62"/>
  <c r="Y33" i="62"/>
  <c r="AB33" i="62" s="1"/>
  <c r="X33" i="62"/>
  <c r="X35" i="62" s="1"/>
  <c r="AA35" i="62" s="1"/>
  <c r="W33" i="62"/>
  <c r="W35" i="62" s="1"/>
  <c r="V33" i="62"/>
  <c r="Z33" i="62" s="1"/>
  <c r="T33" i="62"/>
  <c r="S33" i="62"/>
  <c r="R33" i="62"/>
  <c r="L33" i="62"/>
  <c r="K33" i="62"/>
  <c r="J33" i="62"/>
  <c r="R32" i="62"/>
  <c r="W31" i="62"/>
  <c r="Z32" i="62" s="1"/>
  <c r="V31" i="62"/>
  <c r="O31" i="62"/>
  <c r="P31" i="62" s="1"/>
  <c r="N31" i="62"/>
  <c r="G31" i="62"/>
  <c r="H31" i="62" s="1"/>
  <c r="F31" i="62"/>
  <c r="Y30" i="62"/>
  <c r="X30" i="62"/>
  <c r="AB30" i="62" s="1"/>
  <c r="W30" i="62"/>
  <c r="Z30" i="62" s="1"/>
  <c r="V30" i="62"/>
  <c r="T30" i="62"/>
  <c r="S30" i="62"/>
  <c r="R30" i="62"/>
  <c r="L30" i="62"/>
  <c r="K30" i="62"/>
  <c r="J30" i="62"/>
  <c r="Y29" i="62"/>
  <c r="AB29" i="62" s="1"/>
  <c r="X29" i="62"/>
  <c r="W29" i="62"/>
  <c r="AA29" i="62" s="1"/>
  <c r="V29" i="62"/>
  <c r="T29" i="62"/>
  <c r="S29" i="62"/>
  <c r="R29" i="62"/>
  <c r="L29" i="62"/>
  <c r="K29" i="62"/>
  <c r="J29" i="62"/>
  <c r="Y28" i="62"/>
  <c r="AB28" i="62" s="1"/>
  <c r="X28" i="62"/>
  <c r="AA28" i="62" s="1"/>
  <c r="W28" i="62"/>
  <c r="V28" i="62"/>
  <c r="Z28" i="62" s="1"/>
  <c r="T28" i="62"/>
  <c r="S28" i="62"/>
  <c r="R28" i="62"/>
  <c r="L28" i="62"/>
  <c r="K28" i="62"/>
  <c r="J28" i="62"/>
  <c r="Y27" i="62"/>
  <c r="AB27" i="62" s="1"/>
  <c r="X27" i="62"/>
  <c r="W27" i="62"/>
  <c r="AA27" i="62" s="1"/>
  <c r="V27" i="62"/>
  <c r="T27" i="62"/>
  <c r="S27" i="62"/>
  <c r="R27" i="62"/>
  <c r="L27" i="62"/>
  <c r="K27" i="62"/>
  <c r="J27" i="62"/>
  <c r="X26" i="62"/>
  <c r="AA26" i="62" s="1"/>
  <c r="Q26" i="62"/>
  <c r="T26" i="62" s="1"/>
  <c r="P26" i="62"/>
  <c r="O26" i="62"/>
  <c r="S26" i="62" s="1"/>
  <c r="N26" i="62"/>
  <c r="I26" i="62"/>
  <c r="L26" i="62" s="1"/>
  <c r="H26" i="62"/>
  <c r="K26" i="62" s="1"/>
  <c r="G26" i="62"/>
  <c r="F26" i="62"/>
  <c r="J26" i="62" s="1"/>
  <c r="Y25" i="62"/>
  <c r="AB25" i="62" s="1"/>
  <c r="X25" i="62"/>
  <c r="AA25" i="62" s="1"/>
  <c r="W25" i="62"/>
  <c r="Z25" i="62" s="1"/>
  <c r="V25" i="62"/>
  <c r="T25" i="62"/>
  <c r="S25" i="62"/>
  <c r="R25" i="62"/>
  <c r="L25" i="62"/>
  <c r="K25" i="62"/>
  <c r="J25" i="62"/>
  <c r="Y24" i="62"/>
  <c r="AB24" i="62" s="1"/>
  <c r="X24" i="62"/>
  <c r="AA24" i="62" s="1"/>
  <c r="W24" i="62"/>
  <c r="W26" i="62" s="1"/>
  <c r="V24" i="62"/>
  <c r="Z24" i="62" s="1"/>
  <c r="T24" i="62"/>
  <c r="S24" i="62"/>
  <c r="R24" i="62"/>
  <c r="L24" i="62"/>
  <c r="K24" i="62"/>
  <c r="J24" i="62"/>
  <c r="Z23" i="62"/>
  <c r="R23" i="62"/>
  <c r="Y22" i="62"/>
  <c r="AB23" i="62" s="1"/>
  <c r="X22" i="62"/>
  <c r="AA23" i="62" s="1"/>
  <c r="W22" i="62"/>
  <c r="V22" i="62"/>
  <c r="Q22" i="62"/>
  <c r="T23" i="62" s="1"/>
  <c r="P22" i="62"/>
  <c r="S23" i="62" s="1"/>
  <c r="O22" i="62"/>
  <c r="N22" i="62"/>
  <c r="I22" i="62"/>
  <c r="L23" i="62" s="1"/>
  <c r="H22" i="62"/>
  <c r="K23" i="62" s="1"/>
  <c r="G22" i="62"/>
  <c r="J23" i="62" s="1"/>
  <c r="F22" i="62"/>
  <c r="Y21" i="62"/>
  <c r="X21" i="62"/>
  <c r="AB21" i="62" s="1"/>
  <c r="W21" i="62"/>
  <c r="Z21" i="62" s="1"/>
  <c r="V21" i="62"/>
  <c r="T21" i="62"/>
  <c r="S21" i="62"/>
  <c r="R21" i="62"/>
  <c r="L21" i="62"/>
  <c r="K21" i="62"/>
  <c r="J21" i="62"/>
  <c r="Y20" i="62"/>
  <c r="AB20" i="62" s="1"/>
  <c r="X20" i="62"/>
  <c r="AA20" i="62" s="1"/>
  <c r="W20" i="62"/>
  <c r="Z20" i="62" s="1"/>
  <c r="V20" i="62"/>
  <c r="T20" i="62"/>
  <c r="S20" i="62"/>
  <c r="R20" i="62"/>
  <c r="L20" i="62"/>
  <c r="K20" i="62"/>
  <c r="J20" i="62"/>
  <c r="Y19" i="62"/>
  <c r="AB19" i="62" s="1"/>
  <c r="X19" i="62"/>
  <c r="AA19" i="62" s="1"/>
  <c r="W19" i="62"/>
  <c r="V19" i="62"/>
  <c r="Z19" i="62" s="1"/>
  <c r="T19" i="62"/>
  <c r="S19" i="62"/>
  <c r="R19" i="62"/>
  <c r="L19" i="62"/>
  <c r="K19" i="62"/>
  <c r="J19" i="62"/>
  <c r="Y18" i="62"/>
  <c r="AB18" i="62" s="1"/>
  <c r="X18" i="62"/>
  <c r="W18" i="62"/>
  <c r="AA18" i="62" s="1"/>
  <c r="V18" i="62"/>
  <c r="T18" i="62"/>
  <c r="S18" i="62"/>
  <c r="R18" i="62"/>
  <c r="L18" i="62"/>
  <c r="K18" i="62"/>
  <c r="J18" i="62"/>
  <c r="X17" i="62"/>
  <c r="Q17" i="62"/>
  <c r="T17" i="62" s="1"/>
  <c r="P17" i="62"/>
  <c r="O17" i="62"/>
  <c r="S17" i="62" s="1"/>
  <c r="N17" i="62"/>
  <c r="M17" i="62"/>
  <c r="I17" i="62"/>
  <c r="L17" i="62" s="1"/>
  <c r="H17" i="62"/>
  <c r="G17" i="62"/>
  <c r="K17" i="62" s="1"/>
  <c r="F17" i="62"/>
  <c r="Y16" i="62"/>
  <c r="AB16" i="62" s="1"/>
  <c r="X16" i="62"/>
  <c r="AA16" i="62" s="1"/>
  <c r="W16" i="62"/>
  <c r="V16" i="62"/>
  <c r="Z16" i="62" s="1"/>
  <c r="T16" i="62"/>
  <c r="S16" i="62"/>
  <c r="R16" i="62"/>
  <c r="L16" i="62"/>
  <c r="K16" i="62"/>
  <c r="J16" i="62"/>
  <c r="Y15" i="62"/>
  <c r="Y17" i="62" s="1"/>
  <c r="AB17" i="62" s="1"/>
  <c r="X15" i="62"/>
  <c r="W15" i="62"/>
  <c r="AA15" i="62" s="1"/>
  <c r="V15" i="62"/>
  <c r="V17" i="62" s="1"/>
  <c r="T15" i="62"/>
  <c r="S15" i="62"/>
  <c r="R15" i="62"/>
  <c r="L15" i="62"/>
  <c r="K15" i="62"/>
  <c r="J15" i="62"/>
  <c r="V13" i="62"/>
  <c r="W13" i="62" s="1"/>
  <c r="N13" i="62"/>
  <c r="O13" i="62" s="1"/>
  <c r="F13" i="62"/>
  <c r="G13" i="62" s="1"/>
  <c r="I12" i="62"/>
  <c r="L12" i="62" s="1"/>
  <c r="H12" i="62"/>
  <c r="K12" i="62" s="1"/>
  <c r="G12" i="62"/>
  <c r="J12" i="62" s="1"/>
  <c r="F12" i="62"/>
  <c r="L11" i="62"/>
  <c r="K11" i="62"/>
  <c r="J11" i="62"/>
  <c r="L10" i="62"/>
  <c r="K10" i="62"/>
  <c r="J10" i="62"/>
  <c r="L9" i="62"/>
  <c r="K9" i="62"/>
  <c r="J9" i="62"/>
  <c r="I7" i="62"/>
  <c r="L8" i="62" s="1"/>
  <c r="H7" i="62"/>
  <c r="K8" i="62" s="1"/>
  <c r="G7" i="62"/>
  <c r="J8" i="62" s="1"/>
  <c r="D7" i="62"/>
  <c r="Q50" i="61"/>
  <c r="T50" i="61" s="1"/>
  <c r="P50" i="61"/>
  <c r="S50" i="61" s="1"/>
  <c r="O50" i="61"/>
  <c r="R50" i="61" s="1"/>
  <c r="N50" i="61"/>
  <c r="I50" i="61"/>
  <c r="H50" i="61"/>
  <c r="K50" i="61" s="1"/>
  <c r="G50" i="61"/>
  <c r="J50" i="61" s="1"/>
  <c r="F50" i="61"/>
  <c r="T49" i="61"/>
  <c r="S49" i="61"/>
  <c r="R49" i="61"/>
  <c r="L49" i="61"/>
  <c r="K49" i="61"/>
  <c r="J49" i="61"/>
  <c r="T48" i="61"/>
  <c r="S48" i="61"/>
  <c r="R48" i="61"/>
  <c r="L48" i="61"/>
  <c r="K48" i="61"/>
  <c r="J48" i="61"/>
  <c r="N46" i="61"/>
  <c r="O46" i="61" s="1"/>
  <c r="F46" i="61"/>
  <c r="G46" i="61" s="1"/>
  <c r="Q44" i="61"/>
  <c r="T44" i="61" s="1"/>
  <c r="P44" i="61"/>
  <c r="S44" i="61" s="1"/>
  <c r="O44" i="61"/>
  <c r="R44" i="61" s="1"/>
  <c r="N44" i="61"/>
  <c r="I44" i="61"/>
  <c r="H44" i="61"/>
  <c r="K44" i="61" s="1"/>
  <c r="G44" i="61"/>
  <c r="J44" i="61" s="1"/>
  <c r="F44" i="61"/>
  <c r="T43" i="61"/>
  <c r="S43" i="61"/>
  <c r="R43" i="61"/>
  <c r="L43" i="61"/>
  <c r="K43" i="61"/>
  <c r="J43" i="61"/>
  <c r="T42" i="61"/>
  <c r="S42" i="61"/>
  <c r="R42" i="61"/>
  <c r="L42" i="61"/>
  <c r="K42" i="61"/>
  <c r="J42" i="61"/>
  <c r="N40" i="61"/>
  <c r="O40" i="61" s="1"/>
  <c r="F40" i="61"/>
  <c r="G40" i="61" s="1"/>
  <c r="AB36" i="61"/>
  <c r="AA36" i="61"/>
  <c r="Z36" i="61"/>
  <c r="T36" i="61"/>
  <c r="S36" i="61"/>
  <c r="R36" i="61"/>
  <c r="L36" i="61"/>
  <c r="K36" i="61"/>
  <c r="J36" i="61"/>
  <c r="AB35" i="61"/>
  <c r="Q35" i="61"/>
  <c r="T35" i="61" s="1"/>
  <c r="P35" i="61"/>
  <c r="O35" i="61"/>
  <c r="S35" i="61" s="1"/>
  <c r="N35" i="61"/>
  <c r="R35" i="61" s="1"/>
  <c r="I35" i="61"/>
  <c r="L35" i="61" s="1"/>
  <c r="H35" i="61"/>
  <c r="K35" i="61" s="1"/>
  <c r="G35" i="61"/>
  <c r="F35" i="61"/>
  <c r="J35" i="61" s="1"/>
  <c r="Y34" i="61"/>
  <c r="X34" i="61"/>
  <c r="AA34" i="61" s="1"/>
  <c r="W34" i="61"/>
  <c r="Z34" i="61" s="1"/>
  <c r="V34" i="61"/>
  <c r="T34" i="61"/>
  <c r="S34" i="61"/>
  <c r="R34" i="61"/>
  <c r="L34" i="61"/>
  <c r="K34" i="61"/>
  <c r="J34" i="61"/>
  <c r="Y33" i="61"/>
  <c r="AB33" i="61" s="1"/>
  <c r="X33" i="61"/>
  <c r="AA33" i="61" s="1"/>
  <c r="W33" i="61"/>
  <c r="V33" i="61"/>
  <c r="Z33" i="61" s="1"/>
  <c r="T33" i="61"/>
  <c r="S33" i="61"/>
  <c r="R33" i="61"/>
  <c r="L33" i="61"/>
  <c r="K33" i="61"/>
  <c r="J33" i="61"/>
  <c r="X31" i="61"/>
  <c r="AA32" i="61" s="1"/>
  <c r="W31" i="61"/>
  <c r="Z32" i="61" s="1"/>
  <c r="V31" i="61"/>
  <c r="P31" i="61"/>
  <c r="S32" i="61" s="1"/>
  <c r="O31" i="61"/>
  <c r="R32" i="61" s="1"/>
  <c r="N31" i="61"/>
  <c r="H31" i="61"/>
  <c r="K32" i="61" s="1"/>
  <c r="G31" i="61"/>
  <c r="J32" i="61" s="1"/>
  <c r="F31" i="61"/>
  <c r="AB30" i="61"/>
  <c r="AA30" i="61"/>
  <c r="Z30" i="61"/>
  <c r="T30" i="61"/>
  <c r="S30" i="61"/>
  <c r="R30" i="61"/>
  <c r="L30" i="61"/>
  <c r="K30" i="61"/>
  <c r="J30" i="61"/>
  <c r="AB29" i="61"/>
  <c r="AA29" i="61"/>
  <c r="Z29" i="61"/>
  <c r="T29" i="61"/>
  <c r="S29" i="61"/>
  <c r="R29" i="61"/>
  <c r="L29" i="61"/>
  <c r="K29" i="61"/>
  <c r="J29" i="61"/>
  <c r="AB28" i="61"/>
  <c r="AA28" i="61"/>
  <c r="Z28" i="61"/>
  <c r="T28" i="61"/>
  <c r="S28" i="61"/>
  <c r="R28" i="61"/>
  <c r="L28" i="61"/>
  <c r="K28" i="61"/>
  <c r="J28" i="61"/>
  <c r="AB27" i="61"/>
  <c r="AA27" i="61"/>
  <c r="Z27" i="61"/>
  <c r="T27" i="61"/>
  <c r="S27" i="61"/>
  <c r="R27" i="61"/>
  <c r="L27" i="61"/>
  <c r="K27" i="61"/>
  <c r="J27" i="61"/>
  <c r="AB26" i="61"/>
  <c r="AA26" i="61"/>
  <c r="W26" i="61"/>
  <c r="W35" i="61" s="1"/>
  <c r="Q26" i="61"/>
  <c r="P26" i="61"/>
  <c r="T26" i="61" s="1"/>
  <c r="O26" i="61"/>
  <c r="S26" i="61" s="1"/>
  <c r="N26" i="61"/>
  <c r="I26" i="61"/>
  <c r="L26" i="61" s="1"/>
  <c r="H26" i="61"/>
  <c r="G26" i="61"/>
  <c r="K26" i="61" s="1"/>
  <c r="F26" i="61"/>
  <c r="J26" i="61" s="1"/>
  <c r="AA25" i="61"/>
  <c r="Z25" i="61"/>
  <c r="Y25" i="61"/>
  <c r="AB25" i="61" s="1"/>
  <c r="V25" i="61"/>
  <c r="T25" i="61"/>
  <c r="S25" i="61"/>
  <c r="R25" i="61"/>
  <c r="L25" i="61"/>
  <c r="K25" i="61"/>
  <c r="J25" i="61"/>
  <c r="AB24" i="61"/>
  <c r="AA24" i="61"/>
  <c r="Y24" i="61"/>
  <c r="V24" i="61"/>
  <c r="V26" i="61" s="1"/>
  <c r="Z26" i="61" s="1"/>
  <c r="T24" i="61"/>
  <c r="S24" i="61"/>
  <c r="R24" i="61"/>
  <c r="L24" i="61"/>
  <c r="K24" i="61"/>
  <c r="J24" i="61"/>
  <c r="V22" i="61"/>
  <c r="W22" i="61" s="1"/>
  <c r="N22" i="61"/>
  <c r="O22" i="61" s="1"/>
  <c r="F22" i="61"/>
  <c r="G22" i="61" s="1"/>
  <c r="AB21" i="61"/>
  <c r="AA21" i="61"/>
  <c r="Z21" i="61"/>
  <c r="T21" i="61"/>
  <c r="S21" i="61"/>
  <c r="R21" i="61"/>
  <c r="L21" i="61"/>
  <c r="K21" i="61"/>
  <c r="J21" i="61"/>
  <c r="AB20" i="61"/>
  <c r="AA20" i="61"/>
  <c r="Z20" i="61"/>
  <c r="T20" i="61"/>
  <c r="S20" i="61"/>
  <c r="R20" i="61"/>
  <c r="L20" i="61"/>
  <c r="K20" i="61"/>
  <c r="J20" i="61"/>
  <c r="AA19" i="61"/>
  <c r="Z19" i="61"/>
  <c r="Y19" i="61"/>
  <c r="AB19" i="61" s="1"/>
  <c r="X19" i="61"/>
  <c r="T19" i="61"/>
  <c r="S19" i="61"/>
  <c r="R19" i="61"/>
  <c r="L19" i="61"/>
  <c r="K19" i="61"/>
  <c r="J19" i="61"/>
  <c r="AB18" i="61"/>
  <c r="AA18" i="61"/>
  <c r="Z18" i="61"/>
  <c r="T18" i="61"/>
  <c r="S18" i="61"/>
  <c r="R18" i="61"/>
  <c r="L18" i="61"/>
  <c r="K18" i="61"/>
  <c r="J18" i="61"/>
  <c r="AB17" i="61"/>
  <c r="AA17" i="61"/>
  <c r="Z17" i="61"/>
  <c r="Q17" i="61"/>
  <c r="T17" i="61" s="1"/>
  <c r="P17" i="61"/>
  <c r="S17" i="61" s="1"/>
  <c r="O17" i="61"/>
  <c r="N17" i="61"/>
  <c r="R17" i="61" s="1"/>
  <c r="M17" i="61"/>
  <c r="I17" i="61"/>
  <c r="L17" i="61" s="1"/>
  <c r="H17" i="61"/>
  <c r="K17" i="61" s="1"/>
  <c r="G17" i="61"/>
  <c r="F17" i="61"/>
  <c r="J17" i="61" s="1"/>
  <c r="Y16" i="61"/>
  <c r="X16" i="61"/>
  <c r="AB16" i="61" s="1"/>
  <c r="W16" i="61"/>
  <c r="Z16" i="61" s="1"/>
  <c r="V16" i="61"/>
  <c r="T16" i="61"/>
  <c r="S16" i="61"/>
  <c r="R16" i="61"/>
  <c r="L16" i="61"/>
  <c r="K16" i="61"/>
  <c r="J16" i="61"/>
  <c r="Y15" i="61"/>
  <c r="AB15" i="61" s="1"/>
  <c r="X15" i="61"/>
  <c r="AA15" i="61" s="1"/>
  <c r="W15" i="61"/>
  <c r="V15" i="61"/>
  <c r="Z15" i="61" s="1"/>
  <c r="T15" i="61"/>
  <c r="S15" i="61"/>
  <c r="R15" i="61"/>
  <c r="L15" i="61"/>
  <c r="K15" i="61"/>
  <c r="J15" i="61"/>
  <c r="X13" i="61"/>
  <c r="AA14" i="61" s="1"/>
  <c r="W13" i="61"/>
  <c r="Z14" i="61" s="1"/>
  <c r="V13" i="61"/>
  <c r="P13" i="61"/>
  <c r="S14" i="61" s="1"/>
  <c r="O13" i="61"/>
  <c r="R14" i="61" s="1"/>
  <c r="N13" i="61"/>
  <c r="H13" i="61"/>
  <c r="K14" i="61" s="1"/>
  <c r="G13" i="61"/>
  <c r="J14" i="61" s="1"/>
  <c r="F13" i="61"/>
  <c r="I12" i="61"/>
  <c r="H12" i="61"/>
  <c r="L12" i="61" s="1"/>
  <c r="G12" i="61"/>
  <c r="K12" i="61" s="1"/>
  <c r="F12" i="61"/>
  <c r="L11" i="61"/>
  <c r="K11" i="61"/>
  <c r="J11" i="61"/>
  <c r="L10" i="61"/>
  <c r="K10" i="61"/>
  <c r="J10" i="61"/>
  <c r="L9" i="61"/>
  <c r="K9" i="61"/>
  <c r="J9" i="61"/>
  <c r="G7" i="61"/>
  <c r="J8" i="61" s="1"/>
  <c r="D7" i="61"/>
  <c r="AA32" i="65" l="1"/>
  <c r="Y31" i="65"/>
  <c r="AB32" i="65" s="1"/>
  <c r="Q46" i="65"/>
  <c r="T47" i="65" s="1"/>
  <c r="S47" i="65"/>
  <c r="S32" i="65"/>
  <c r="Q31" i="65"/>
  <c r="T32" i="65" s="1"/>
  <c r="I46" i="65"/>
  <c r="L47" i="65" s="1"/>
  <c r="K47" i="65"/>
  <c r="K23" i="65"/>
  <c r="I22" i="65"/>
  <c r="L23" i="65" s="1"/>
  <c r="S23" i="65"/>
  <c r="Q22" i="65"/>
  <c r="T23" i="65" s="1"/>
  <c r="I40" i="65"/>
  <c r="L41" i="65" s="1"/>
  <c r="K41" i="65"/>
  <c r="I12" i="65"/>
  <c r="L12" i="65" s="1"/>
  <c r="L11" i="65"/>
  <c r="I31" i="65"/>
  <c r="L32" i="65" s="1"/>
  <c r="K32" i="65"/>
  <c r="L25" i="65"/>
  <c r="K25" i="65"/>
  <c r="Q13" i="65"/>
  <c r="T14" i="65" s="1"/>
  <c r="S14" i="65"/>
  <c r="AA23" i="65"/>
  <c r="Y22" i="65"/>
  <c r="AB23" i="65" s="1"/>
  <c r="I13" i="65"/>
  <c r="L14" i="65" s="1"/>
  <c r="K14" i="65"/>
  <c r="AA14" i="65"/>
  <c r="Y13" i="65"/>
  <c r="AB14" i="65" s="1"/>
  <c r="K24" i="65"/>
  <c r="H26" i="65"/>
  <c r="K26" i="65" s="1"/>
  <c r="Y26" i="65"/>
  <c r="AB26" i="65" s="1"/>
  <c r="AB24" i="65"/>
  <c r="Q40" i="65"/>
  <c r="T41" i="65" s="1"/>
  <c r="S41" i="65"/>
  <c r="J41" i="64"/>
  <c r="H40" i="64"/>
  <c r="Z14" i="64"/>
  <c r="X13" i="64"/>
  <c r="R41" i="64"/>
  <c r="P40" i="64"/>
  <c r="J47" i="64"/>
  <c r="H46" i="64"/>
  <c r="P13" i="64"/>
  <c r="R14" i="64"/>
  <c r="J14" i="64"/>
  <c r="H13" i="64"/>
  <c r="AB17" i="64"/>
  <c r="AB26" i="64"/>
  <c r="R47" i="64"/>
  <c r="P46" i="64"/>
  <c r="AB19" i="64"/>
  <c r="AA20" i="64"/>
  <c r="L26" i="64"/>
  <c r="AB28" i="64"/>
  <c r="L35" i="64"/>
  <c r="H7" i="64"/>
  <c r="Z15" i="64"/>
  <c r="J17" i="64"/>
  <c r="R17" i="64"/>
  <c r="W17" i="64"/>
  <c r="Z17" i="64" s="1"/>
  <c r="Z18" i="64"/>
  <c r="AA21" i="64"/>
  <c r="H22" i="64"/>
  <c r="P22" i="64"/>
  <c r="X22" i="64"/>
  <c r="R26" i="64"/>
  <c r="Z27" i="64"/>
  <c r="AA30" i="64"/>
  <c r="H31" i="64"/>
  <c r="P31" i="64"/>
  <c r="X31" i="64"/>
  <c r="R35" i="64"/>
  <c r="Z36" i="64"/>
  <c r="R44" i="64"/>
  <c r="R50" i="64"/>
  <c r="K12" i="64"/>
  <c r="AB16" i="64"/>
  <c r="AB24" i="64"/>
  <c r="AA25" i="64"/>
  <c r="AA29" i="64"/>
  <c r="AA34" i="64"/>
  <c r="L44" i="64"/>
  <c r="X26" i="64"/>
  <c r="AA26" i="64" s="1"/>
  <c r="X35" i="64"/>
  <c r="AA35" i="64" s="1"/>
  <c r="AB33" i="64"/>
  <c r="L50" i="64"/>
  <c r="AB15" i="64"/>
  <c r="H46" i="63"/>
  <c r="J47" i="63"/>
  <c r="AB17" i="63"/>
  <c r="I40" i="63"/>
  <c r="L41" i="63" s="1"/>
  <c r="K41" i="63"/>
  <c r="R47" i="63"/>
  <c r="P46" i="63"/>
  <c r="AB15" i="63"/>
  <c r="S23" i="63"/>
  <c r="AA24" i="63"/>
  <c r="Y26" i="63"/>
  <c r="AB26" i="63" s="1"/>
  <c r="S32" i="63"/>
  <c r="W33" i="63"/>
  <c r="AA33" i="63" s="1"/>
  <c r="L34" i="63"/>
  <c r="V34" i="63"/>
  <c r="Z34" i="63" s="1"/>
  <c r="J41" i="63"/>
  <c r="L50" i="63"/>
  <c r="K8" i="63"/>
  <c r="K12" i="63"/>
  <c r="V17" i="63"/>
  <c r="Z17" i="63" s="1"/>
  <c r="AA20" i="63"/>
  <c r="Z21" i="63"/>
  <c r="K23" i="63"/>
  <c r="AA25" i="63"/>
  <c r="AA29" i="63"/>
  <c r="Z30" i="63"/>
  <c r="K32" i="63"/>
  <c r="J33" i="63"/>
  <c r="AB33" i="63"/>
  <c r="R44" i="63"/>
  <c r="X34" i="63"/>
  <c r="AA34" i="63" s="1"/>
  <c r="P40" i="63"/>
  <c r="AA15" i="63"/>
  <c r="Y22" i="63"/>
  <c r="AB23" i="63" s="1"/>
  <c r="Y31" i="63"/>
  <c r="AB32" i="63" s="1"/>
  <c r="Z14" i="62"/>
  <c r="X13" i="62"/>
  <c r="H46" i="62"/>
  <c r="J47" i="62"/>
  <c r="Q31" i="62"/>
  <c r="T32" i="62" s="1"/>
  <c r="S32" i="62"/>
  <c r="P46" i="62"/>
  <c r="R47" i="62"/>
  <c r="J14" i="62"/>
  <c r="H13" i="62"/>
  <c r="H40" i="62"/>
  <c r="J41" i="62"/>
  <c r="R14" i="62"/>
  <c r="P13" i="62"/>
  <c r="I31" i="62"/>
  <c r="L32" i="62" s="1"/>
  <c r="K32" i="62"/>
  <c r="P40" i="62"/>
  <c r="R41" i="62"/>
  <c r="AB15" i="62"/>
  <c r="Y26" i="62"/>
  <c r="AB26" i="62" s="1"/>
  <c r="Z29" i="62"/>
  <c r="J32" i="62"/>
  <c r="AA33" i="62"/>
  <c r="Z34" i="62"/>
  <c r="K35" i="62"/>
  <c r="Y35" i="62"/>
  <c r="AB35" i="62" s="1"/>
  <c r="K44" i="62"/>
  <c r="V26" i="62"/>
  <c r="Z26" i="62" s="1"/>
  <c r="V35" i="62"/>
  <c r="Z35" i="62" s="1"/>
  <c r="R50" i="62"/>
  <c r="Z15" i="62"/>
  <c r="J17" i="62"/>
  <c r="R17" i="62"/>
  <c r="W17" i="62"/>
  <c r="Z17" i="62" s="1"/>
  <c r="Z18" i="62"/>
  <c r="AA21" i="62"/>
  <c r="R26" i="62"/>
  <c r="Z27" i="62"/>
  <c r="AA30" i="62"/>
  <c r="X31" i="62"/>
  <c r="R35" i="62"/>
  <c r="R23" i="61"/>
  <c r="P22" i="61"/>
  <c r="H40" i="61"/>
  <c r="J41" i="61"/>
  <c r="Z23" i="61"/>
  <c r="X22" i="61"/>
  <c r="R41" i="61"/>
  <c r="P40" i="61"/>
  <c r="AA35" i="61"/>
  <c r="Z35" i="61"/>
  <c r="H46" i="61"/>
  <c r="J47" i="61"/>
  <c r="H22" i="61"/>
  <c r="J23" i="61"/>
  <c r="R47" i="61"/>
  <c r="P46" i="61"/>
  <c r="Q13" i="61"/>
  <c r="T14" i="61" s="1"/>
  <c r="AB34" i="61"/>
  <c r="L44" i="61"/>
  <c r="L50" i="61"/>
  <c r="H7" i="61"/>
  <c r="I13" i="61"/>
  <c r="L14" i="61" s="1"/>
  <c r="Y13" i="61"/>
  <c r="AB14" i="61" s="1"/>
  <c r="Z24" i="61"/>
  <c r="I31" i="61"/>
  <c r="L32" i="61" s="1"/>
  <c r="Q31" i="61"/>
  <c r="T32" i="61" s="1"/>
  <c r="Y31" i="61"/>
  <c r="AB32" i="61" s="1"/>
  <c r="J12" i="61"/>
  <c r="AA16" i="61"/>
  <c r="R26" i="61"/>
  <c r="Q50" i="60"/>
  <c r="P50" i="60"/>
  <c r="T50" i="60" s="1"/>
  <c r="O50" i="60"/>
  <c r="N50" i="60"/>
  <c r="R50" i="60" s="1"/>
  <c r="I50" i="60"/>
  <c r="L50" i="60" s="1"/>
  <c r="H50" i="60"/>
  <c r="G50" i="60"/>
  <c r="K50" i="60" s="1"/>
  <c r="F50" i="60"/>
  <c r="T49" i="60"/>
  <c r="S49" i="60"/>
  <c r="R49" i="60"/>
  <c r="L49" i="60"/>
  <c r="K49" i="60"/>
  <c r="J49" i="60"/>
  <c r="T48" i="60"/>
  <c r="S48" i="60"/>
  <c r="R48" i="60"/>
  <c r="L48" i="60"/>
  <c r="K48" i="60"/>
  <c r="J48" i="60"/>
  <c r="O46" i="60"/>
  <c r="R47" i="60" s="1"/>
  <c r="N46" i="60"/>
  <c r="G46" i="60"/>
  <c r="J47" i="60" s="1"/>
  <c r="F46" i="60"/>
  <c r="Q44" i="60"/>
  <c r="P44" i="60"/>
  <c r="T44" i="60" s="1"/>
  <c r="O44" i="60"/>
  <c r="N44" i="60"/>
  <c r="R44" i="60" s="1"/>
  <c r="I44" i="60"/>
  <c r="L44" i="60" s="1"/>
  <c r="H44" i="60"/>
  <c r="G44" i="60"/>
  <c r="K44" i="60" s="1"/>
  <c r="F44" i="60"/>
  <c r="T43" i="60"/>
  <c r="S43" i="60"/>
  <c r="R43" i="60"/>
  <c r="L43" i="60"/>
  <c r="K43" i="60"/>
  <c r="J43" i="60"/>
  <c r="T42" i="60"/>
  <c r="S42" i="60"/>
  <c r="R42" i="60"/>
  <c r="L42" i="60"/>
  <c r="K42" i="60"/>
  <c r="J42" i="60"/>
  <c r="O40" i="60"/>
  <c r="R41" i="60" s="1"/>
  <c r="N40" i="60"/>
  <c r="G40" i="60"/>
  <c r="J41" i="60" s="1"/>
  <c r="F40" i="60"/>
  <c r="T36" i="60"/>
  <c r="S36" i="60"/>
  <c r="R36" i="60"/>
  <c r="L36" i="60"/>
  <c r="K36" i="60"/>
  <c r="J36" i="60"/>
  <c r="Q35" i="60"/>
  <c r="P35" i="60"/>
  <c r="T35" i="60" s="1"/>
  <c r="O35" i="60"/>
  <c r="N35" i="60"/>
  <c r="R35" i="60" s="1"/>
  <c r="I35" i="60"/>
  <c r="L35" i="60" s="1"/>
  <c r="H35" i="60"/>
  <c r="G35" i="60"/>
  <c r="K35" i="60" s="1"/>
  <c r="F35" i="60"/>
  <c r="Y34" i="60"/>
  <c r="X34" i="60"/>
  <c r="AB34" i="60" s="1"/>
  <c r="W34" i="60"/>
  <c r="V34" i="60"/>
  <c r="Z34" i="60" s="1"/>
  <c r="T34" i="60"/>
  <c r="S34" i="60"/>
  <c r="R34" i="60"/>
  <c r="L34" i="60"/>
  <c r="K34" i="60"/>
  <c r="J34" i="60"/>
  <c r="Y33" i="60"/>
  <c r="AB33" i="60" s="1"/>
  <c r="X33" i="60"/>
  <c r="W33" i="60"/>
  <c r="AA33" i="60" s="1"/>
  <c r="V33" i="60"/>
  <c r="T33" i="60"/>
  <c r="S33" i="60"/>
  <c r="R33" i="60"/>
  <c r="L33" i="60"/>
  <c r="K33" i="60"/>
  <c r="J33" i="60"/>
  <c r="V31" i="60"/>
  <c r="W31" i="60" s="1"/>
  <c r="N31" i="60"/>
  <c r="O31" i="60" s="1"/>
  <c r="F31" i="60"/>
  <c r="G31" i="60" s="1"/>
  <c r="AB30" i="60"/>
  <c r="AA30" i="60"/>
  <c r="Z30" i="60"/>
  <c r="T30" i="60"/>
  <c r="S30" i="60"/>
  <c r="R30" i="60"/>
  <c r="L30" i="60"/>
  <c r="K30" i="60"/>
  <c r="J30" i="60"/>
  <c r="AB29" i="60"/>
  <c r="AA29" i="60"/>
  <c r="Z29" i="60"/>
  <c r="T29" i="60"/>
  <c r="S29" i="60"/>
  <c r="R29" i="60"/>
  <c r="L29" i="60"/>
  <c r="K29" i="60"/>
  <c r="J29" i="60"/>
  <c r="AB28" i="60"/>
  <c r="AA28" i="60"/>
  <c r="Z28" i="60"/>
  <c r="T28" i="60"/>
  <c r="S28" i="60"/>
  <c r="R28" i="60"/>
  <c r="L28" i="60"/>
  <c r="K28" i="60"/>
  <c r="J28" i="60"/>
  <c r="AB27" i="60"/>
  <c r="AA27" i="60"/>
  <c r="Z27" i="60"/>
  <c r="T27" i="60"/>
  <c r="S27" i="60"/>
  <c r="R27" i="60"/>
  <c r="L27" i="60"/>
  <c r="K27" i="60"/>
  <c r="J27" i="60"/>
  <c r="Q26" i="60"/>
  <c r="T26" i="60" s="1"/>
  <c r="P26" i="60"/>
  <c r="S26" i="60" s="1"/>
  <c r="O26" i="60"/>
  <c r="R26" i="60" s="1"/>
  <c r="N26" i="60"/>
  <c r="I26" i="60"/>
  <c r="L26" i="60" s="1"/>
  <c r="H26" i="60"/>
  <c r="K26" i="60" s="1"/>
  <c r="G26" i="60"/>
  <c r="J26" i="60" s="1"/>
  <c r="F26" i="60"/>
  <c r="Y25" i="60"/>
  <c r="AB25" i="60" s="1"/>
  <c r="X25" i="60"/>
  <c r="AA25" i="60" s="1"/>
  <c r="W25" i="60"/>
  <c r="Z25" i="60" s="1"/>
  <c r="V25" i="60"/>
  <c r="T25" i="60"/>
  <c r="S25" i="60"/>
  <c r="R25" i="60"/>
  <c r="L25" i="60"/>
  <c r="K25" i="60"/>
  <c r="J25" i="60"/>
  <c r="Y24" i="60"/>
  <c r="Y26" i="60" s="1"/>
  <c r="X24" i="60"/>
  <c r="AA24" i="60" s="1"/>
  <c r="W24" i="60"/>
  <c r="W26" i="60" s="1"/>
  <c r="V24" i="60"/>
  <c r="V26" i="60" s="1"/>
  <c r="V35" i="60" s="1"/>
  <c r="V36" i="60" s="1"/>
  <c r="T24" i="60"/>
  <c r="S24" i="60"/>
  <c r="R24" i="60"/>
  <c r="L24" i="60"/>
  <c r="K24" i="60"/>
  <c r="J24" i="60"/>
  <c r="V22" i="60"/>
  <c r="W22" i="60" s="1"/>
  <c r="N22" i="60"/>
  <c r="O22" i="60" s="1"/>
  <c r="F22" i="60"/>
  <c r="G22" i="60" s="1"/>
  <c r="Y21" i="60"/>
  <c r="AB21" i="60" s="1"/>
  <c r="X21" i="60"/>
  <c r="AA21" i="60" s="1"/>
  <c r="W21" i="60"/>
  <c r="Z21" i="60" s="1"/>
  <c r="V21" i="60"/>
  <c r="T21" i="60"/>
  <c r="S21" i="60"/>
  <c r="R21" i="60"/>
  <c r="L21" i="60"/>
  <c r="K21" i="60"/>
  <c r="J21" i="60"/>
  <c r="Y20" i="60"/>
  <c r="AB20" i="60" s="1"/>
  <c r="X20" i="60"/>
  <c r="AA20" i="60" s="1"/>
  <c r="W20" i="60"/>
  <c r="Z20" i="60" s="1"/>
  <c r="V20" i="60"/>
  <c r="T20" i="60"/>
  <c r="S20" i="60"/>
  <c r="R20" i="60"/>
  <c r="L20" i="60"/>
  <c r="K20" i="60"/>
  <c r="J20" i="60"/>
  <c r="Y19" i="60"/>
  <c r="AB19" i="60" s="1"/>
  <c r="X19" i="60"/>
  <c r="AA19" i="60" s="1"/>
  <c r="W19" i="60"/>
  <c r="Z19" i="60" s="1"/>
  <c r="V19" i="60"/>
  <c r="T19" i="60"/>
  <c r="S19" i="60"/>
  <c r="R19" i="60"/>
  <c r="L19" i="60"/>
  <c r="K19" i="60"/>
  <c r="J19" i="60"/>
  <c r="Y18" i="60"/>
  <c r="AB18" i="60" s="1"/>
  <c r="X18" i="60"/>
  <c r="AA18" i="60" s="1"/>
  <c r="W18" i="60"/>
  <c r="Z18" i="60" s="1"/>
  <c r="V18" i="60"/>
  <c r="T18" i="60"/>
  <c r="S18" i="60"/>
  <c r="R18" i="60"/>
  <c r="L18" i="60"/>
  <c r="K18" i="60"/>
  <c r="J18" i="60"/>
  <c r="Q17" i="60"/>
  <c r="M17" i="60"/>
  <c r="P16" i="60"/>
  <c r="T16" i="60" s="1"/>
  <c r="O16" i="60"/>
  <c r="R16" i="60" s="1"/>
  <c r="N16" i="60"/>
  <c r="I16" i="60"/>
  <c r="Y16" i="60" s="1"/>
  <c r="H16" i="60"/>
  <c r="X16" i="60" s="1"/>
  <c r="AA16" i="60" s="1"/>
  <c r="G16" i="60"/>
  <c r="W16" i="60" s="1"/>
  <c r="F16" i="60"/>
  <c r="V16" i="60" s="1"/>
  <c r="P15" i="60"/>
  <c r="O15" i="60"/>
  <c r="R15" i="60" s="1"/>
  <c r="N15" i="60"/>
  <c r="N17" i="60" s="1"/>
  <c r="I15" i="60"/>
  <c r="H15" i="60"/>
  <c r="K15" i="60" s="1"/>
  <c r="G15" i="60"/>
  <c r="F15" i="60"/>
  <c r="W13" i="60"/>
  <c r="Z14" i="60" s="1"/>
  <c r="V13" i="60"/>
  <c r="O13" i="60"/>
  <c r="R14" i="60" s="1"/>
  <c r="N13" i="60"/>
  <c r="G13" i="60"/>
  <c r="J14" i="60" s="1"/>
  <c r="F13" i="60"/>
  <c r="I12" i="60"/>
  <c r="H12" i="60"/>
  <c r="L12" i="60" s="1"/>
  <c r="G12" i="60"/>
  <c r="F12" i="60"/>
  <c r="J12" i="60" s="1"/>
  <c r="L11" i="60"/>
  <c r="K11" i="60"/>
  <c r="J11" i="60"/>
  <c r="L10" i="60"/>
  <c r="K10" i="60"/>
  <c r="J10" i="60"/>
  <c r="L9" i="60"/>
  <c r="K9" i="60"/>
  <c r="J9" i="60"/>
  <c r="J8" i="60"/>
  <c r="H7" i="60"/>
  <c r="K8" i="60" s="1"/>
  <c r="G7" i="60"/>
  <c r="D7" i="60"/>
  <c r="L26" i="65" l="1"/>
  <c r="AA14" i="64"/>
  <c r="Y13" i="64"/>
  <c r="AB14" i="64" s="1"/>
  <c r="AA32" i="64"/>
  <c r="Y31" i="64"/>
  <c r="AB32" i="64" s="1"/>
  <c r="I22" i="64"/>
  <c r="L23" i="64" s="1"/>
  <c r="K23" i="64"/>
  <c r="S14" i="64"/>
  <c r="Q13" i="64"/>
  <c r="T14" i="64" s="1"/>
  <c r="AA17" i="64"/>
  <c r="S23" i="64"/>
  <c r="Q22" i="64"/>
  <c r="T23" i="64" s="1"/>
  <c r="K8" i="64"/>
  <c r="I7" i="64"/>
  <c r="L8" i="64" s="1"/>
  <c r="AB35" i="64"/>
  <c r="S32" i="64"/>
  <c r="Q31" i="64"/>
  <c r="T32" i="64" s="1"/>
  <c r="Q46" i="64"/>
  <c r="T47" i="64" s="1"/>
  <c r="S47" i="64"/>
  <c r="K14" i="64"/>
  <c r="I13" i="64"/>
  <c r="L14" i="64" s="1"/>
  <c r="I46" i="64"/>
  <c r="L47" i="64" s="1"/>
  <c r="K47" i="64"/>
  <c r="Q40" i="64"/>
  <c r="T41" i="64" s="1"/>
  <c r="S41" i="64"/>
  <c r="I40" i="64"/>
  <c r="L41" i="64" s="1"/>
  <c r="K41" i="64"/>
  <c r="K32" i="64"/>
  <c r="I31" i="64"/>
  <c r="L32" i="64" s="1"/>
  <c r="AA23" i="64"/>
  <c r="Y22" i="64"/>
  <c r="AB23" i="64" s="1"/>
  <c r="AB34" i="63"/>
  <c r="Q40" i="63"/>
  <c r="T41" i="63" s="1"/>
  <c r="S41" i="63"/>
  <c r="Z33" i="63"/>
  <c r="W35" i="63"/>
  <c r="I46" i="63"/>
  <c r="L47" i="63" s="1"/>
  <c r="K47" i="63"/>
  <c r="V35" i="63"/>
  <c r="Q46" i="63"/>
  <c r="T47" i="63" s="1"/>
  <c r="S47" i="63"/>
  <c r="X35" i="63"/>
  <c r="S41" i="62"/>
  <c r="Q40" i="62"/>
  <c r="T41" i="62" s="1"/>
  <c r="I13" i="62"/>
  <c r="L14" i="62" s="1"/>
  <c r="K14" i="62"/>
  <c r="AA32" i="62"/>
  <c r="Y31" i="62"/>
  <c r="AB32" i="62" s="1"/>
  <c r="K41" i="62"/>
  <c r="I40" i="62"/>
  <c r="L41" i="62" s="1"/>
  <c r="AA14" i="62"/>
  <c r="Y13" i="62"/>
  <c r="AB14" i="62" s="1"/>
  <c r="S14" i="62"/>
  <c r="Q13" i="62"/>
  <c r="T14" i="62" s="1"/>
  <c r="AA17" i="62"/>
  <c r="S47" i="62"/>
  <c r="Q46" i="62"/>
  <c r="T47" i="62" s="1"/>
  <c r="K47" i="62"/>
  <c r="I46" i="62"/>
  <c r="L47" i="62" s="1"/>
  <c r="Q46" i="61"/>
  <c r="T47" i="61" s="1"/>
  <c r="S47" i="61"/>
  <c r="Q40" i="61"/>
  <c r="T41" i="61" s="1"/>
  <c r="S41" i="61"/>
  <c r="I46" i="61"/>
  <c r="L47" i="61" s="1"/>
  <c r="K47" i="61"/>
  <c r="I40" i="61"/>
  <c r="L41" i="61" s="1"/>
  <c r="K41" i="61"/>
  <c r="AA23" i="61"/>
  <c r="Y22" i="61"/>
  <c r="AB23" i="61" s="1"/>
  <c r="Q22" i="61"/>
  <c r="T23" i="61" s="1"/>
  <c r="S23" i="61"/>
  <c r="K8" i="61"/>
  <c r="I7" i="61"/>
  <c r="L8" i="61" s="1"/>
  <c r="I22" i="61"/>
  <c r="L23" i="61" s="1"/>
  <c r="K23" i="61"/>
  <c r="I7" i="60"/>
  <c r="L8" i="60" s="1"/>
  <c r="K12" i="60"/>
  <c r="H13" i="60"/>
  <c r="P13" i="60"/>
  <c r="X13" i="60"/>
  <c r="W15" i="60"/>
  <c r="G17" i="60"/>
  <c r="Y15" i="60"/>
  <c r="I17" i="60"/>
  <c r="P17" i="60"/>
  <c r="T15" i="60"/>
  <c r="S15" i="60"/>
  <c r="Z16" i="60"/>
  <c r="AB16" i="60"/>
  <c r="J23" i="60"/>
  <c r="H22" i="60"/>
  <c r="Z23" i="60"/>
  <c r="X22" i="60"/>
  <c r="W35" i="60"/>
  <c r="Z26" i="60"/>
  <c r="Y35" i="60"/>
  <c r="P31" i="60"/>
  <c r="R32" i="60"/>
  <c r="F17" i="60"/>
  <c r="V15" i="60"/>
  <c r="V17" i="60" s="1"/>
  <c r="H17" i="60"/>
  <c r="K17" i="60" s="1"/>
  <c r="X15" i="60"/>
  <c r="J15" i="60"/>
  <c r="L15" i="60"/>
  <c r="T17" i="60"/>
  <c r="P22" i="60"/>
  <c r="R23" i="60"/>
  <c r="J32" i="60"/>
  <c r="H31" i="60"/>
  <c r="Z32" i="60"/>
  <c r="X31" i="60"/>
  <c r="K16" i="60"/>
  <c r="S16" i="60"/>
  <c r="O17" i="60"/>
  <c r="R17" i="60" s="1"/>
  <c r="Z24" i="60"/>
  <c r="AB24" i="60"/>
  <c r="X26" i="60"/>
  <c r="Z33" i="60"/>
  <c r="AA34" i="60"/>
  <c r="J35" i="60"/>
  <c r="S35" i="60"/>
  <c r="H40" i="60"/>
  <c r="P40" i="60"/>
  <c r="J44" i="60"/>
  <c r="S44" i="60"/>
  <c r="H46" i="60"/>
  <c r="P46" i="60"/>
  <c r="J50" i="60"/>
  <c r="S50" i="60"/>
  <c r="J16" i="60"/>
  <c r="L16" i="60"/>
  <c r="Q50" i="59"/>
  <c r="P50" i="59"/>
  <c r="T50" i="59" s="1"/>
  <c r="O50" i="59"/>
  <c r="N50" i="59"/>
  <c r="R50" i="59" s="1"/>
  <c r="I50" i="59"/>
  <c r="L50" i="59" s="1"/>
  <c r="H50" i="59"/>
  <c r="G50" i="59"/>
  <c r="K50" i="59" s="1"/>
  <c r="F50" i="59"/>
  <c r="T49" i="59"/>
  <c r="S49" i="59"/>
  <c r="R49" i="59"/>
  <c r="L49" i="59"/>
  <c r="K49" i="59"/>
  <c r="J49" i="59"/>
  <c r="T48" i="59"/>
  <c r="S48" i="59"/>
  <c r="R48" i="59"/>
  <c r="L48" i="59"/>
  <c r="K48" i="59"/>
  <c r="J48" i="59"/>
  <c r="O46" i="59"/>
  <c r="R47" i="59" s="1"/>
  <c r="N46" i="59"/>
  <c r="G46" i="59"/>
  <c r="J47" i="59" s="1"/>
  <c r="F46" i="59"/>
  <c r="Q44" i="59"/>
  <c r="P44" i="59"/>
  <c r="T44" i="59" s="1"/>
  <c r="O44" i="59"/>
  <c r="N44" i="59"/>
  <c r="R44" i="59" s="1"/>
  <c r="I44" i="59"/>
  <c r="L44" i="59" s="1"/>
  <c r="H44" i="59"/>
  <c r="G44" i="59"/>
  <c r="K44" i="59" s="1"/>
  <c r="F44" i="59"/>
  <c r="T43" i="59"/>
  <c r="S43" i="59"/>
  <c r="R43" i="59"/>
  <c r="L43" i="59"/>
  <c r="K43" i="59"/>
  <c r="J43" i="59"/>
  <c r="T42" i="59"/>
  <c r="S42" i="59"/>
  <c r="R42" i="59"/>
  <c r="L42" i="59"/>
  <c r="K42" i="59"/>
  <c r="J42" i="59"/>
  <c r="R41" i="59"/>
  <c r="Q40" i="59"/>
  <c r="T41" i="59" s="1"/>
  <c r="O40" i="59"/>
  <c r="P40" i="59" s="1"/>
  <c r="S41" i="59" s="1"/>
  <c r="N40" i="59"/>
  <c r="G40" i="59"/>
  <c r="F40" i="59"/>
  <c r="AB36" i="59"/>
  <c r="AA36" i="59"/>
  <c r="Z36" i="59"/>
  <c r="T36" i="59"/>
  <c r="S36" i="59"/>
  <c r="R36" i="59"/>
  <c r="L36" i="59"/>
  <c r="K36" i="59"/>
  <c r="J36" i="59"/>
  <c r="AB35" i="59"/>
  <c r="AA35" i="59"/>
  <c r="Z35" i="59"/>
  <c r="T35" i="59"/>
  <c r="Q35" i="59"/>
  <c r="P35" i="59"/>
  <c r="S35" i="59" s="1"/>
  <c r="O35" i="59"/>
  <c r="N35" i="59"/>
  <c r="R35" i="59" s="1"/>
  <c r="K35" i="59"/>
  <c r="I35" i="59"/>
  <c r="L35" i="59" s="1"/>
  <c r="H35" i="59"/>
  <c r="G35" i="59"/>
  <c r="J35" i="59" s="1"/>
  <c r="F35" i="59"/>
  <c r="Y34" i="59"/>
  <c r="X34" i="59"/>
  <c r="AA34" i="59" s="1"/>
  <c r="W34" i="59"/>
  <c r="V34" i="59"/>
  <c r="Z34" i="59" s="1"/>
  <c r="T34" i="59"/>
  <c r="S34" i="59"/>
  <c r="R34" i="59"/>
  <c r="L34" i="59"/>
  <c r="K34" i="59"/>
  <c r="J34" i="59"/>
  <c r="Y33" i="59"/>
  <c r="AB33" i="59" s="1"/>
  <c r="X33" i="59"/>
  <c r="W33" i="59"/>
  <c r="Z33" i="59" s="1"/>
  <c r="V33" i="59"/>
  <c r="T33" i="59"/>
  <c r="S33" i="59"/>
  <c r="R33" i="59"/>
  <c r="L33" i="59"/>
  <c r="K33" i="59"/>
  <c r="J33" i="59"/>
  <c r="V31" i="59"/>
  <c r="W31" i="59" s="1"/>
  <c r="Z32" i="59" s="1"/>
  <c r="N31" i="59"/>
  <c r="O31" i="59" s="1"/>
  <c r="R32" i="59" s="1"/>
  <c r="F31" i="59"/>
  <c r="G31" i="59" s="1"/>
  <c r="H31" i="59" s="1"/>
  <c r="AB30" i="59"/>
  <c r="AA30" i="59"/>
  <c r="Z30" i="59"/>
  <c r="T30" i="59"/>
  <c r="S30" i="59"/>
  <c r="R30" i="59"/>
  <c r="L30" i="59"/>
  <c r="K30" i="59"/>
  <c r="J30" i="59"/>
  <c r="AB29" i="59"/>
  <c r="AA29" i="59"/>
  <c r="Z29" i="59"/>
  <c r="T29" i="59"/>
  <c r="S29" i="59"/>
  <c r="R29" i="59"/>
  <c r="L29" i="59"/>
  <c r="K29" i="59"/>
  <c r="J29" i="59"/>
  <c r="AB28" i="59"/>
  <c r="AA28" i="59"/>
  <c r="Z28" i="59"/>
  <c r="T28" i="59"/>
  <c r="S28" i="59"/>
  <c r="R28" i="59"/>
  <c r="L28" i="59"/>
  <c r="K28" i="59"/>
  <c r="J28" i="59"/>
  <c r="AB27" i="59"/>
  <c r="AA27" i="59"/>
  <c r="Z27" i="59"/>
  <c r="T27" i="59"/>
  <c r="S27" i="59"/>
  <c r="R27" i="59"/>
  <c r="L27" i="59"/>
  <c r="K27" i="59"/>
  <c r="J27" i="59"/>
  <c r="T26" i="59"/>
  <c r="Q26" i="59"/>
  <c r="P26" i="59"/>
  <c r="S26" i="59" s="1"/>
  <c r="O26" i="59"/>
  <c r="N26" i="59"/>
  <c r="R26" i="59" s="1"/>
  <c r="K26" i="59"/>
  <c r="I26" i="59"/>
  <c r="H26" i="59"/>
  <c r="G26" i="59"/>
  <c r="F26" i="59"/>
  <c r="Y25" i="59"/>
  <c r="X25" i="59"/>
  <c r="AA25" i="59" s="1"/>
  <c r="W25" i="59"/>
  <c r="V25" i="59"/>
  <c r="Z25" i="59" s="1"/>
  <c r="T25" i="59"/>
  <c r="S25" i="59"/>
  <c r="R25" i="59"/>
  <c r="L25" i="59"/>
  <c r="K25" i="59"/>
  <c r="J25" i="59"/>
  <c r="Y24" i="59"/>
  <c r="AB24" i="59" s="1"/>
  <c r="X24" i="59"/>
  <c r="W24" i="59"/>
  <c r="Z24" i="59" s="1"/>
  <c r="V24" i="59"/>
  <c r="T24" i="59"/>
  <c r="S24" i="59"/>
  <c r="R24" i="59"/>
  <c r="L24" i="59"/>
  <c r="K24" i="59"/>
  <c r="J24" i="59"/>
  <c r="V22" i="59"/>
  <c r="W22" i="59" s="1"/>
  <c r="Z23" i="59" s="1"/>
  <c r="N22" i="59"/>
  <c r="O22" i="59" s="1"/>
  <c r="R23" i="59" s="1"/>
  <c r="F22" i="59"/>
  <c r="G22" i="59" s="1"/>
  <c r="H22" i="59" s="1"/>
  <c r="Y21" i="59"/>
  <c r="AB21" i="59" s="1"/>
  <c r="X21" i="59"/>
  <c r="W21" i="59"/>
  <c r="Z21" i="59" s="1"/>
  <c r="V21" i="59"/>
  <c r="T21" i="59"/>
  <c r="S21" i="59"/>
  <c r="R21" i="59"/>
  <c r="L21" i="59"/>
  <c r="K21" i="59"/>
  <c r="J21" i="59"/>
  <c r="AB20" i="59"/>
  <c r="Y20" i="59"/>
  <c r="X20" i="59"/>
  <c r="AA20" i="59" s="1"/>
  <c r="W20" i="59"/>
  <c r="V20" i="59"/>
  <c r="Z20" i="59" s="1"/>
  <c r="T20" i="59"/>
  <c r="S20" i="59"/>
  <c r="R20" i="59"/>
  <c r="L20" i="59"/>
  <c r="K20" i="59"/>
  <c r="J20" i="59"/>
  <c r="AA19" i="59"/>
  <c r="Y19" i="59"/>
  <c r="AB19" i="59" s="1"/>
  <c r="X19" i="59"/>
  <c r="W19" i="59"/>
  <c r="Z19" i="59" s="1"/>
  <c r="V19" i="59"/>
  <c r="T19" i="59"/>
  <c r="S19" i="59"/>
  <c r="R19" i="59"/>
  <c r="L19" i="59"/>
  <c r="K19" i="59"/>
  <c r="J19" i="59"/>
  <c r="Y18" i="59"/>
  <c r="X18" i="59"/>
  <c r="AA18" i="59" s="1"/>
  <c r="W18" i="59"/>
  <c r="V18" i="59"/>
  <c r="Z18" i="59" s="1"/>
  <c r="T18" i="59"/>
  <c r="S18" i="59"/>
  <c r="R18" i="59"/>
  <c r="L18" i="59"/>
  <c r="K18" i="59"/>
  <c r="J18" i="59"/>
  <c r="T17" i="59"/>
  <c r="Q17" i="59"/>
  <c r="P17" i="59"/>
  <c r="S17" i="59" s="1"/>
  <c r="O17" i="59"/>
  <c r="N17" i="59"/>
  <c r="R17" i="59" s="1"/>
  <c r="M17" i="59"/>
  <c r="H17" i="59"/>
  <c r="F17" i="59"/>
  <c r="F16" i="59" s="1"/>
  <c r="Y16" i="59"/>
  <c r="AB16" i="59" s="1"/>
  <c r="X16" i="59"/>
  <c r="T16" i="59"/>
  <c r="L16" i="59"/>
  <c r="Y15" i="59"/>
  <c r="X15" i="59"/>
  <c r="S15" i="59"/>
  <c r="P15" i="59"/>
  <c r="T15" i="59" s="1"/>
  <c r="O15" i="59"/>
  <c r="O16" i="59" s="1"/>
  <c r="S16" i="59" s="1"/>
  <c r="N15" i="59"/>
  <c r="N16" i="59" s="1"/>
  <c r="K15" i="59"/>
  <c r="H15" i="59"/>
  <c r="L15" i="59" s="1"/>
  <c r="G15" i="59"/>
  <c r="W15" i="59" s="1"/>
  <c r="F15" i="59"/>
  <c r="V15" i="59" s="1"/>
  <c r="V13" i="59"/>
  <c r="W13" i="59" s="1"/>
  <c r="N13" i="59"/>
  <c r="O13" i="59" s="1"/>
  <c r="F13" i="59"/>
  <c r="G13" i="59" s="1"/>
  <c r="I12" i="59"/>
  <c r="L12" i="59" s="1"/>
  <c r="H12" i="59"/>
  <c r="G12" i="59"/>
  <c r="J12" i="59" s="1"/>
  <c r="F12" i="59"/>
  <c r="L11" i="59"/>
  <c r="K11" i="59"/>
  <c r="J11" i="59"/>
  <c r="L10" i="59"/>
  <c r="K10" i="59"/>
  <c r="J10" i="59"/>
  <c r="L9" i="59"/>
  <c r="K9" i="59"/>
  <c r="J9" i="59"/>
  <c r="G7" i="59"/>
  <c r="J8" i="59" s="1"/>
  <c r="D7" i="59"/>
  <c r="AA35" i="63" l="1"/>
  <c r="AB35" i="63"/>
  <c r="Z35" i="63"/>
  <c r="Q46" i="60"/>
  <c r="T47" i="60" s="1"/>
  <c r="S47" i="60"/>
  <c r="AA26" i="60"/>
  <c r="X35" i="60"/>
  <c r="K47" i="60"/>
  <c r="I46" i="60"/>
  <c r="L47" i="60" s="1"/>
  <c r="K41" i="60"/>
  <c r="I40" i="60"/>
  <c r="L41" i="60" s="1"/>
  <c r="S23" i="60"/>
  <c r="Q22" i="60"/>
  <c r="T23" i="60" s="1"/>
  <c r="AA15" i="60"/>
  <c r="X17" i="60"/>
  <c r="AB26" i="60"/>
  <c r="AA23" i="60"/>
  <c r="Y22" i="60"/>
  <c r="AB23" i="60" s="1"/>
  <c r="K23" i="60"/>
  <c r="I22" i="60"/>
  <c r="L23" i="60" s="1"/>
  <c r="S17" i="60"/>
  <c r="Y17" i="60"/>
  <c r="AB17" i="60" s="1"/>
  <c r="AB15" i="60"/>
  <c r="W17" i="60"/>
  <c r="Z17" i="60" s="1"/>
  <c r="Z15" i="60"/>
  <c r="S14" i="60"/>
  <c r="Q13" i="60"/>
  <c r="T14" i="60" s="1"/>
  <c r="Q40" i="60"/>
  <c r="T41" i="60" s="1"/>
  <c r="S41" i="60"/>
  <c r="AA32" i="60"/>
  <c r="Y31" i="60"/>
  <c r="AB32" i="60" s="1"/>
  <c r="K32" i="60"/>
  <c r="I31" i="60"/>
  <c r="L32" i="60" s="1"/>
  <c r="S32" i="60"/>
  <c r="Q31" i="60"/>
  <c r="T32" i="60" s="1"/>
  <c r="Y36" i="60"/>
  <c r="AB35" i="60"/>
  <c r="W36" i="60"/>
  <c r="Z36" i="60" s="1"/>
  <c r="Z35" i="60"/>
  <c r="L17" i="60"/>
  <c r="J17" i="60"/>
  <c r="AA14" i="60"/>
  <c r="Y13" i="60"/>
  <c r="AB14" i="60" s="1"/>
  <c r="K14" i="60"/>
  <c r="I13" i="60"/>
  <c r="L14" i="60" s="1"/>
  <c r="R14" i="59"/>
  <c r="P13" i="59"/>
  <c r="K23" i="59"/>
  <c r="I22" i="59"/>
  <c r="L23" i="59" s="1"/>
  <c r="J14" i="59"/>
  <c r="H13" i="59"/>
  <c r="Z14" i="59"/>
  <c r="X13" i="59"/>
  <c r="K32" i="59"/>
  <c r="I31" i="59"/>
  <c r="L32" i="59" s="1"/>
  <c r="K12" i="59"/>
  <c r="X17" i="59"/>
  <c r="AA15" i="59"/>
  <c r="Z15" i="59"/>
  <c r="R16" i="59"/>
  <c r="V16" i="59"/>
  <c r="V17" i="59" s="1"/>
  <c r="Y17" i="59"/>
  <c r="J23" i="59"/>
  <c r="Y26" i="59"/>
  <c r="J32" i="59"/>
  <c r="J41" i="59"/>
  <c r="H40" i="59"/>
  <c r="H7" i="59"/>
  <c r="AB15" i="59"/>
  <c r="AB18" i="59"/>
  <c r="AA21" i="59"/>
  <c r="P22" i="59"/>
  <c r="X22" i="59"/>
  <c r="V26" i="59"/>
  <c r="X26" i="59"/>
  <c r="AA24" i="59"/>
  <c r="AB25" i="59"/>
  <c r="J26" i="59"/>
  <c r="G17" i="59"/>
  <c r="L26" i="59"/>
  <c r="I17" i="59"/>
  <c r="L17" i="59" s="1"/>
  <c r="W26" i="59"/>
  <c r="Z26" i="59" s="1"/>
  <c r="P31" i="59"/>
  <c r="X31" i="59"/>
  <c r="AA33" i="59"/>
  <c r="AB34" i="59"/>
  <c r="J15" i="59"/>
  <c r="R15" i="59"/>
  <c r="J44" i="59"/>
  <c r="S44" i="59"/>
  <c r="H46" i="59"/>
  <c r="P46" i="59"/>
  <c r="J50" i="59"/>
  <c r="S50" i="59"/>
  <c r="Q50" i="58"/>
  <c r="T50" i="58" s="1"/>
  <c r="P50" i="58"/>
  <c r="O50" i="58"/>
  <c r="R50" i="58" s="1"/>
  <c r="N50" i="58"/>
  <c r="I50" i="58"/>
  <c r="H50" i="58"/>
  <c r="K50" i="58" s="1"/>
  <c r="G50" i="58"/>
  <c r="F50" i="58"/>
  <c r="J50" i="58" s="1"/>
  <c r="T49" i="58"/>
  <c r="S49" i="58"/>
  <c r="R49" i="58"/>
  <c r="L49" i="58"/>
  <c r="K49" i="58"/>
  <c r="J49" i="58"/>
  <c r="T48" i="58"/>
  <c r="S48" i="58"/>
  <c r="R48" i="58"/>
  <c r="L48" i="58"/>
  <c r="K48" i="58"/>
  <c r="J48" i="58"/>
  <c r="N46" i="58"/>
  <c r="O46" i="58" s="1"/>
  <c r="F46" i="58"/>
  <c r="G46" i="58" s="1"/>
  <c r="Q44" i="58"/>
  <c r="T44" i="58" s="1"/>
  <c r="P44" i="58"/>
  <c r="O44" i="58"/>
  <c r="R44" i="58" s="1"/>
  <c r="N44" i="58"/>
  <c r="I44" i="58"/>
  <c r="H44" i="58"/>
  <c r="K44" i="58" s="1"/>
  <c r="G44" i="58"/>
  <c r="F44" i="58"/>
  <c r="J44" i="58" s="1"/>
  <c r="T43" i="58"/>
  <c r="S43" i="58"/>
  <c r="R43" i="58"/>
  <c r="L43" i="58"/>
  <c r="K43" i="58"/>
  <c r="J43" i="58"/>
  <c r="T42" i="58"/>
  <c r="S42" i="58"/>
  <c r="R42" i="58"/>
  <c r="L42" i="58"/>
  <c r="K42" i="58"/>
  <c r="J42" i="58"/>
  <c r="N40" i="58"/>
  <c r="O40" i="58" s="1"/>
  <c r="F40" i="58"/>
  <c r="G40" i="58" s="1"/>
  <c r="T36" i="58"/>
  <c r="S36" i="58"/>
  <c r="R36" i="58"/>
  <c r="Q35" i="58"/>
  <c r="T35" i="58" s="1"/>
  <c r="P35" i="58"/>
  <c r="O35" i="58"/>
  <c r="R35" i="58" s="1"/>
  <c r="N35" i="58"/>
  <c r="T34" i="58"/>
  <c r="S34" i="58"/>
  <c r="R34" i="58"/>
  <c r="Y33" i="58"/>
  <c r="X33" i="58"/>
  <c r="AA33" i="58" s="1"/>
  <c r="W33" i="58"/>
  <c r="V33" i="58"/>
  <c r="T33" i="58"/>
  <c r="S33" i="58"/>
  <c r="R33" i="58"/>
  <c r="L33" i="58"/>
  <c r="K33" i="58"/>
  <c r="J33" i="58"/>
  <c r="W31" i="58"/>
  <c r="Z32" i="58" s="1"/>
  <c r="V31" i="58"/>
  <c r="O31" i="58"/>
  <c r="P31" i="58" s="1"/>
  <c r="N31" i="58"/>
  <c r="G31" i="58"/>
  <c r="J32" i="58" s="1"/>
  <c r="F31" i="58"/>
  <c r="Y30" i="58"/>
  <c r="X30" i="58"/>
  <c r="AA30" i="58" s="1"/>
  <c r="W30" i="58"/>
  <c r="V30" i="58"/>
  <c r="Z30" i="58" s="1"/>
  <c r="T30" i="58"/>
  <c r="S30" i="58"/>
  <c r="R30" i="58"/>
  <c r="L30" i="58"/>
  <c r="K30" i="58"/>
  <c r="J30" i="58"/>
  <c r="Y29" i="58"/>
  <c r="AB29" i="58" s="1"/>
  <c r="X29" i="58"/>
  <c r="W29" i="58"/>
  <c r="Z29" i="58" s="1"/>
  <c r="V29" i="58"/>
  <c r="T29" i="58"/>
  <c r="S29" i="58"/>
  <c r="R29" i="58"/>
  <c r="L29" i="58"/>
  <c r="K29" i="58"/>
  <c r="J29" i="58"/>
  <c r="Y28" i="58"/>
  <c r="X28" i="58"/>
  <c r="AA28" i="58" s="1"/>
  <c r="W28" i="58"/>
  <c r="V28" i="58"/>
  <c r="Z28" i="58" s="1"/>
  <c r="T28" i="58"/>
  <c r="S28" i="58"/>
  <c r="R28" i="58"/>
  <c r="L28" i="58"/>
  <c r="K28" i="58"/>
  <c r="J28" i="58"/>
  <c r="Y27" i="58"/>
  <c r="AB27" i="58" s="1"/>
  <c r="X27" i="58"/>
  <c r="W27" i="58"/>
  <c r="Z27" i="58" s="1"/>
  <c r="V27" i="58"/>
  <c r="T27" i="58"/>
  <c r="S27" i="58"/>
  <c r="R27" i="58"/>
  <c r="L27" i="58"/>
  <c r="K27" i="58"/>
  <c r="J27" i="58"/>
  <c r="Q26" i="58"/>
  <c r="T26" i="58" s="1"/>
  <c r="P26" i="58"/>
  <c r="O26" i="58"/>
  <c r="R26" i="58" s="1"/>
  <c r="N26" i="58"/>
  <c r="I26" i="58"/>
  <c r="I34" i="58" s="1"/>
  <c r="H26" i="58"/>
  <c r="H34" i="58" s="1"/>
  <c r="G26" i="58"/>
  <c r="G34" i="58" s="1"/>
  <c r="F26" i="58"/>
  <c r="F34" i="58" s="1"/>
  <c r="Y25" i="58"/>
  <c r="AB25" i="58" s="1"/>
  <c r="X25" i="58"/>
  <c r="W25" i="58"/>
  <c r="Z25" i="58" s="1"/>
  <c r="V25" i="58"/>
  <c r="T25" i="58"/>
  <c r="S25" i="58"/>
  <c r="R25" i="58"/>
  <c r="L25" i="58"/>
  <c r="K25" i="58"/>
  <c r="J25" i="58"/>
  <c r="Y24" i="58"/>
  <c r="Y26" i="58" s="1"/>
  <c r="X24" i="58"/>
  <c r="AA24" i="58" s="1"/>
  <c r="W24" i="58"/>
  <c r="W26" i="58" s="1"/>
  <c r="V24" i="58"/>
  <c r="V26" i="58" s="1"/>
  <c r="T24" i="58"/>
  <c r="S24" i="58"/>
  <c r="R24" i="58"/>
  <c r="L24" i="58"/>
  <c r="K24" i="58"/>
  <c r="J24" i="58"/>
  <c r="V22" i="58"/>
  <c r="W22" i="58" s="1"/>
  <c r="N22" i="58"/>
  <c r="O22" i="58" s="1"/>
  <c r="F22" i="58"/>
  <c r="G22" i="58" s="1"/>
  <c r="Y21" i="58"/>
  <c r="AB21" i="58" s="1"/>
  <c r="X21" i="58"/>
  <c r="AA21" i="58" s="1"/>
  <c r="W21" i="58"/>
  <c r="Z21" i="58" s="1"/>
  <c r="V21" i="58"/>
  <c r="T21" i="58"/>
  <c r="S21" i="58"/>
  <c r="R21" i="58"/>
  <c r="L21" i="58"/>
  <c r="K21" i="58"/>
  <c r="J21" i="58"/>
  <c r="Y20" i="58"/>
  <c r="X20" i="58"/>
  <c r="AB20" i="58" s="1"/>
  <c r="W20" i="58"/>
  <c r="V20" i="58"/>
  <c r="Z20" i="58" s="1"/>
  <c r="T20" i="58"/>
  <c r="S20" i="58"/>
  <c r="R20" i="58"/>
  <c r="L20" i="58"/>
  <c r="K20" i="58"/>
  <c r="J20" i="58"/>
  <c r="Y19" i="58"/>
  <c r="AB19" i="58" s="1"/>
  <c r="X19" i="58"/>
  <c r="W19" i="58"/>
  <c r="AA19" i="58" s="1"/>
  <c r="V19" i="58"/>
  <c r="T19" i="58"/>
  <c r="S19" i="58"/>
  <c r="R19" i="58"/>
  <c r="L19" i="58"/>
  <c r="K19" i="58"/>
  <c r="J19" i="58"/>
  <c r="Y18" i="58"/>
  <c r="X18" i="58"/>
  <c r="AB18" i="58" s="1"/>
  <c r="W18" i="58"/>
  <c r="V18" i="58"/>
  <c r="Z18" i="58" s="1"/>
  <c r="T18" i="58"/>
  <c r="S18" i="58"/>
  <c r="R18" i="58"/>
  <c r="L18" i="58"/>
  <c r="K18" i="58"/>
  <c r="J18" i="58"/>
  <c r="P17" i="58"/>
  <c r="M17" i="58"/>
  <c r="I17" i="58"/>
  <c r="L17" i="58" s="1"/>
  <c r="G17" i="58"/>
  <c r="Q16" i="58"/>
  <c r="Q17" i="58" s="1"/>
  <c r="T17" i="58" s="1"/>
  <c r="P16" i="58"/>
  <c r="O16" i="58"/>
  <c r="O17" i="58" s="1"/>
  <c r="R17" i="58" s="1"/>
  <c r="N16" i="58"/>
  <c r="N17" i="58" s="1"/>
  <c r="I16" i="58"/>
  <c r="Y16" i="58" s="1"/>
  <c r="H16" i="58"/>
  <c r="H17" i="58" s="1"/>
  <c r="K17" i="58" s="1"/>
  <c r="G16" i="58"/>
  <c r="W16" i="58" s="1"/>
  <c r="F16" i="58"/>
  <c r="F17" i="58" s="1"/>
  <c r="Y15" i="58"/>
  <c r="X15" i="58"/>
  <c r="W15" i="58"/>
  <c r="V15" i="58"/>
  <c r="T15" i="58"/>
  <c r="S15" i="58"/>
  <c r="R15" i="58"/>
  <c r="L15" i="58"/>
  <c r="K15" i="58"/>
  <c r="J15" i="58"/>
  <c r="V13" i="58"/>
  <c r="W13" i="58" s="1"/>
  <c r="N13" i="58"/>
  <c r="O13" i="58" s="1"/>
  <c r="F13" i="58"/>
  <c r="G13" i="58" s="1"/>
  <c r="I12" i="58"/>
  <c r="L12" i="58" s="1"/>
  <c r="H12" i="58"/>
  <c r="G12" i="58"/>
  <c r="J12" i="58" s="1"/>
  <c r="F12" i="58"/>
  <c r="L11" i="58"/>
  <c r="K11" i="58"/>
  <c r="J11" i="58"/>
  <c r="L10" i="58"/>
  <c r="K10" i="58"/>
  <c r="J10" i="58"/>
  <c r="L9" i="58"/>
  <c r="K9" i="58"/>
  <c r="J9" i="58"/>
  <c r="G7" i="58"/>
  <c r="J8" i="58" s="1"/>
  <c r="D7" i="58"/>
  <c r="Q50" i="57"/>
  <c r="T50" i="57" s="1"/>
  <c r="P50" i="57"/>
  <c r="S50" i="57" s="1"/>
  <c r="O50" i="57"/>
  <c r="R50" i="57" s="1"/>
  <c r="N50" i="57"/>
  <c r="I50" i="57"/>
  <c r="L50" i="57" s="1"/>
  <c r="H50" i="57"/>
  <c r="G50" i="57"/>
  <c r="K50" i="57" s="1"/>
  <c r="F50" i="57"/>
  <c r="T49" i="57"/>
  <c r="S49" i="57"/>
  <c r="R49" i="57"/>
  <c r="L49" i="57"/>
  <c r="K49" i="57"/>
  <c r="J49" i="57"/>
  <c r="T48" i="57"/>
  <c r="S48" i="57"/>
  <c r="R48" i="57"/>
  <c r="L48" i="57"/>
  <c r="K48" i="57"/>
  <c r="J48" i="57"/>
  <c r="N46" i="57"/>
  <c r="O46" i="57" s="1"/>
  <c r="F46" i="57"/>
  <c r="G46" i="57" s="1"/>
  <c r="Q44" i="57"/>
  <c r="T44" i="57" s="1"/>
  <c r="P44" i="57"/>
  <c r="S44" i="57" s="1"/>
  <c r="O44" i="57"/>
  <c r="R44" i="57" s="1"/>
  <c r="N44" i="57"/>
  <c r="I44" i="57"/>
  <c r="L44" i="57" s="1"/>
  <c r="H44" i="57"/>
  <c r="K44" i="57" s="1"/>
  <c r="G44" i="57"/>
  <c r="J44" i="57" s="1"/>
  <c r="F44" i="57"/>
  <c r="T43" i="57"/>
  <c r="S43" i="57"/>
  <c r="R43" i="57"/>
  <c r="L43" i="57"/>
  <c r="K43" i="57"/>
  <c r="J43" i="57"/>
  <c r="T42" i="57"/>
  <c r="S42" i="57"/>
  <c r="R42" i="57"/>
  <c r="L42" i="57"/>
  <c r="K42" i="57"/>
  <c r="J42" i="57"/>
  <c r="N40" i="57"/>
  <c r="O40" i="57" s="1"/>
  <c r="F40" i="57"/>
  <c r="G40" i="57" s="1"/>
  <c r="Y36" i="57"/>
  <c r="AB36" i="57" s="1"/>
  <c r="X36" i="57"/>
  <c r="W36" i="57"/>
  <c r="Z36" i="57" s="1"/>
  <c r="V36" i="57"/>
  <c r="T36" i="57"/>
  <c r="S36" i="57"/>
  <c r="R36" i="57"/>
  <c r="L36" i="57"/>
  <c r="K36" i="57"/>
  <c r="J36" i="57"/>
  <c r="Q35" i="57"/>
  <c r="T35" i="57" s="1"/>
  <c r="P35" i="57"/>
  <c r="O35" i="57"/>
  <c r="R35" i="57" s="1"/>
  <c r="N35" i="57"/>
  <c r="I35" i="57"/>
  <c r="H35" i="57"/>
  <c r="K35" i="57" s="1"/>
  <c r="G35" i="57"/>
  <c r="J35" i="57" s="1"/>
  <c r="F35" i="57"/>
  <c r="Y34" i="57"/>
  <c r="AB34" i="57" s="1"/>
  <c r="X34" i="57"/>
  <c r="W34" i="57"/>
  <c r="Z34" i="57" s="1"/>
  <c r="V34" i="57"/>
  <c r="T34" i="57"/>
  <c r="S34" i="57"/>
  <c r="R34" i="57"/>
  <c r="L34" i="57"/>
  <c r="K34" i="57"/>
  <c r="J34" i="57"/>
  <c r="Y33" i="57"/>
  <c r="Y35" i="57" s="1"/>
  <c r="X33" i="57"/>
  <c r="AA33" i="57" s="1"/>
  <c r="W33" i="57"/>
  <c r="W35" i="57" s="1"/>
  <c r="Z35" i="57" s="1"/>
  <c r="V33" i="57"/>
  <c r="V35" i="57" s="1"/>
  <c r="T33" i="57"/>
  <c r="S33" i="57"/>
  <c r="R33" i="57"/>
  <c r="L33" i="57"/>
  <c r="K33" i="57"/>
  <c r="J33" i="57"/>
  <c r="V31" i="57"/>
  <c r="W31" i="57" s="1"/>
  <c r="N31" i="57"/>
  <c r="O31" i="57" s="1"/>
  <c r="G31" i="57"/>
  <c r="J32" i="57" s="1"/>
  <c r="F31" i="57"/>
  <c r="Y30" i="57"/>
  <c r="AB30" i="57" s="1"/>
  <c r="X30" i="57"/>
  <c r="AA30" i="57" s="1"/>
  <c r="W30" i="57"/>
  <c r="Z30" i="57" s="1"/>
  <c r="V30" i="57"/>
  <c r="T30" i="57"/>
  <c r="S30" i="57"/>
  <c r="R30" i="57"/>
  <c r="L30" i="57"/>
  <c r="K30" i="57"/>
  <c r="J30" i="57"/>
  <c r="Y29" i="57"/>
  <c r="AB29" i="57" s="1"/>
  <c r="X29" i="57"/>
  <c r="W29" i="57"/>
  <c r="Z29" i="57" s="1"/>
  <c r="V29" i="57"/>
  <c r="T29" i="57"/>
  <c r="S29" i="57"/>
  <c r="R29" i="57"/>
  <c r="L29" i="57"/>
  <c r="K29" i="57"/>
  <c r="J29" i="57"/>
  <c r="Y28" i="57"/>
  <c r="X28" i="57"/>
  <c r="AA28" i="57" s="1"/>
  <c r="W28" i="57"/>
  <c r="V28" i="57"/>
  <c r="Z28" i="57" s="1"/>
  <c r="T28" i="57"/>
  <c r="S28" i="57"/>
  <c r="R28" i="57"/>
  <c r="L28" i="57"/>
  <c r="K28" i="57"/>
  <c r="J28" i="57"/>
  <c r="Y27" i="57"/>
  <c r="AB27" i="57" s="1"/>
  <c r="X27" i="57"/>
  <c r="W27" i="57"/>
  <c r="Z27" i="57" s="1"/>
  <c r="V27" i="57"/>
  <c r="T27" i="57"/>
  <c r="S27" i="57"/>
  <c r="R27" i="57"/>
  <c r="L27" i="57"/>
  <c r="K27" i="57"/>
  <c r="J27" i="57"/>
  <c r="Q26" i="57"/>
  <c r="T26" i="57" s="1"/>
  <c r="P26" i="57"/>
  <c r="O26" i="57"/>
  <c r="R26" i="57" s="1"/>
  <c r="N26" i="57"/>
  <c r="I26" i="57"/>
  <c r="H26" i="57"/>
  <c r="K26" i="57" s="1"/>
  <c r="G26" i="57"/>
  <c r="F26" i="57"/>
  <c r="J26" i="57" s="1"/>
  <c r="Y25" i="57"/>
  <c r="AB25" i="57" s="1"/>
  <c r="X25" i="57"/>
  <c r="W25" i="57"/>
  <c r="Z25" i="57" s="1"/>
  <c r="V25" i="57"/>
  <c r="T25" i="57"/>
  <c r="S25" i="57"/>
  <c r="R25" i="57"/>
  <c r="L25" i="57"/>
  <c r="K25" i="57"/>
  <c r="J25" i="57"/>
  <c r="Y24" i="57"/>
  <c r="Y26" i="57" s="1"/>
  <c r="X24" i="57"/>
  <c r="AA24" i="57" s="1"/>
  <c r="W24" i="57"/>
  <c r="W26" i="57" s="1"/>
  <c r="Z26" i="57" s="1"/>
  <c r="V24" i="57"/>
  <c r="V26" i="57" s="1"/>
  <c r="T24" i="57"/>
  <c r="S24" i="57"/>
  <c r="R24" i="57"/>
  <c r="L24" i="57"/>
  <c r="K24" i="57"/>
  <c r="J24" i="57"/>
  <c r="W22" i="57"/>
  <c r="Z23" i="57" s="1"/>
  <c r="V22" i="57"/>
  <c r="O22" i="57"/>
  <c r="P22" i="57" s="1"/>
  <c r="N22" i="57"/>
  <c r="G22" i="57"/>
  <c r="J23" i="57" s="1"/>
  <c r="F22" i="57"/>
  <c r="Y21" i="57"/>
  <c r="X21" i="57"/>
  <c r="AA21" i="57" s="1"/>
  <c r="W21" i="57"/>
  <c r="V21" i="57"/>
  <c r="Z21" i="57" s="1"/>
  <c r="T21" i="57"/>
  <c r="S21" i="57"/>
  <c r="R21" i="57"/>
  <c r="L21" i="57"/>
  <c r="K21" i="57"/>
  <c r="J21" i="57"/>
  <c r="Y20" i="57"/>
  <c r="AB20" i="57" s="1"/>
  <c r="X20" i="57"/>
  <c r="W20" i="57"/>
  <c r="Z20" i="57" s="1"/>
  <c r="V20" i="57"/>
  <c r="T20" i="57"/>
  <c r="S20" i="57"/>
  <c r="R20" i="57"/>
  <c r="L20" i="57"/>
  <c r="K20" i="57"/>
  <c r="J20" i="57"/>
  <c r="Y19" i="57"/>
  <c r="X19" i="57"/>
  <c r="AA19" i="57" s="1"/>
  <c r="W19" i="57"/>
  <c r="V19" i="57"/>
  <c r="Z19" i="57" s="1"/>
  <c r="T19" i="57"/>
  <c r="S19" i="57"/>
  <c r="R19" i="57"/>
  <c r="L19" i="57"/>
  <c r="K19" i="57"/>
  <c r="J19" i="57"/>
  <c r="Y18" i="57"/>
  <c r="AB18" i="57" s="1"/>
  <c r="X18" i="57"/>
  <c r="W18" i="57"/>
  <c r="Z18" i="57" s="1"/>
  <c r="V18" i="57"/>
  <c r="T18" i="57"/>
  <c r="S18" i="57"/>
  <c r="R18" i="57"/>
  <c r="L18" i="57"/>
  <c r="K18" i="57"/>
  <c r="J18" i="57"/>
  <c r="Q17" i="57"/>
  <c r="T17" i="57" s="1"/>
  <c r="P17" i="57"/>
  <c r="O17" i="57"/>
  <c r="R17" i="57" s="1"/>
  <c r="N17" i="57"/>
  <c r="M17" i="57"/>
  <c r="I17" i="57"/>
  <c r="L17" i="57" s="1"/>
  <c r="H17" i="57"/>
  <c r="G17" i="57"/>
  <c r="J17" i="57" s="1"/>
  <c r="F17" i="57"/>
  <c r="Y16" i="57"/>
  <c r="X16" i="57"/>
  <c r="AA16" i="57" s="1"/>
  <c r="W16" i="57"/>
  <c r="V16" i="57"/>
  <c r="Z16" i="57" s="1"/>
  <c r="T16" i="57"/>
  <c r="S16" i="57"/>
  <c r="R16" i="57"/>
  <c r="L16" i="57"/>
  <c r="K16" i="57"/>
  <c r="J16" i="57"/>
  <c r="Y15" i="57"/>
  <c r="Y17" i="57" s="1"/>
  <c r="X15" i="57"/>
  <c r="X17" i="57" s="1"/>
  <c r="AA17" i="57" s="1"/>
  <c r="W15" i="57"/>
  <c r="W17" i="57" s="1"/>
  <c r="V15" i="57"/>
  <c r="V17" i="57" s="1"/>
  <c r="T15" i="57"/>
  <c r="S15" i="57"/>
  <c r="R15" i="57"/>
  <c r="L15" i="57"/>
  <c r="K15" i="57"/>
  <c r="J15" i="57"/>
  <c r="V13" i="57"/>
  <c r="W13" i="57" s="1"/>
  <c r="N13" i="57"/>
  <c r="O13" i="57" s="1"/>
  <c r="F13" i="57"/>
  <c r="G13" i="57" s="1"/>
  <c r="I12" i="57"/>
  <c r="L12" i="57" s="1"/>
  <c r="H12" i="57"/>
  <c r="G12" i="57"/>
  <c r="J12" i="57" s="1"/>
  <c r="F12" i="57"/>
  <c r="L11" i="57"/>
  <c r="K11" i="57"/>
  <c r="J11" i="57"/>
  <c r="L10" i="57"/>
  <c r="K10" i="57"/>
  <c r="J10" i="57"/>
  <c r="L9" i="57"/>
  <c r="K9" i="57"/>
  <c r="J9" i="57"/>
  <c r="G7" i="57"/>
  <c r="J8" i="57" s="1"/>
  <c r="D7" i="57"/>
  <c r="AA17" i="60" l="1"/>
  <c r="X36" i="60"/>
  <c r="AA36" i="60" s="1"/>
  <c r="AA35" i="60"/>
  <c r="Q46" i="59"/>
  <c r="T47" i="59" s="1"/>
  <c r="S47" i="59"/>
  <c r="AA32" i="59"/>
  <c r="Y31" i="59"/>
  <c r="AB32" i="59" s="1"/>
  <c r="Q22" i="59"/>
  <c r="T23" i="59" s="1"/>
  <c r="S23" i="59"/>
  <c r="K41" i="59"/>
  <c r="I40" i="59"/>
  <c r="L41" i="59" s="1"/>
  <c r="S14" i="59"/>
  <c r="Q13" i="59"/>
  <c r="T14" i="59" s="1"/>
  <c r="K47" i="59"/>
  <c r="I46" i="59"/>
  <c r="L47" i="59" s="1"/>
  <c r="Q31" i="59"/>
  <c r="T32" i="59" s="1"/>
  <c r="S32" i="59"/>
  <c r="J17" i="59"/>
  <c r="G16" i="59"/>
  <c r="AA26" i="59"/>
  <c r="AA23" i="59"/>
  <c r="Y22" i="59"/>
  <c r="AB23" i="59" s="1"/>
  <c r="K17" i="59"/>
  <c r="K8" i="59"/>
  <c r="I7" i="59"/>
  <c r="L8" i="59" s="1"/>
  <c r="AB26" i="59"/>
  <c r="AB17" i="59"/>
  <c r="AA14" i="59"/>
  <c r="Y13" i="59"/>
  <c r="AB14" i="59" s="1"/>
  <c r="K14" i="59"/>
  <c r="I13" i="59"/>
  <c r="L14" i="59" s="1"/>
  <c r="Z14" i="58"/>
  <c r="X13" i="58"/>
  <c r="J14" i="58"/>
  <c r="H13" i="58"/>
  <c r="R14" i="58"/>
  <c r="P13" i="58"/>
  <c r="J17" i="58"/>
  <c r="K12" i="58"/>
  <c r="W17" i="58"/>
  <c r="Y17" i="58"/>
  <c r="AA15" i="58"/>
  <c r="J16" i="58"/>
  <c r="L16" i="58"/>
  <c r="S16" i="58"/>
  <c r="V16" i="58"/>
  <c r="Z16" i="58" s="1"/>
  <c r="X16" i="58"/>
  <c r="AA16" i="58" s="1"/>
  <c r="S17" i="58"/>
  <c r="P22" i="58"/>
  <c r="R23" i="58"/>
  <c r="F36" i="58"/>
  <c r="V36" i="58" s="1"/>
  <c r="V34" i="58"/>
  <c r="F35" i="58"/>
  <c r="H36" i="58"/>
  <c r="X34" i="58"/>
  <c r="AA34" i="58" s="1"/>
  <c r="H35" i="58"/>
  <c r="K34" i="58"/>
  <c r="V35" i="58"/>
  <c r="J41" i="58"/>
  <c r="H40" i="58"/>
  <c r="J47" i="58"/>
  <c r="H46" i="58"/>
  <c r="H7" i="58"/>
  <c r="V17" i="58"/>
  <c r="X17" i="58"/>
  <c r="AA17" i="58" s="1"/>
  <c r="Z15" i="58"/>
  <c r="AB15" i="58"/>
  <c r="K16" i="58"/>
  <c r="R16" i="58"/>
  <c r="T16" i="58"/>
  <c r="J23" i="58"/>
  <c r="H22" i="58"/>
  <c r="Z23" i="58"/>
  <c r="X22" i="58"/>
  <c r="Z26" i="58"/>
  <c r="G35" i="58"/>
  <c r="J35" i="58" s="1"/>
  <c r="J34" i="58"/>
  <c r="G36" i="58"/>
  <c r="W34" i="58"/>
  <c r="Z34" i="58" s="1"/>
  <c r="I35" i="58"/>
  <c r="L35" i="58" s="1"/>
  <c r="L34" i="58"/>
  <c r="I36" i="58"/>
  <c r="Y34" i="58"/>
  <c r="S32" i="58"/>
  <c r="Q31" i="58"/>
  <c r="T32" i="58" s="1"/>
  <c r="W35" i="58"/>
  <c r="Z35" i="58" s="1"/>
  <c r="Y35" i="58"/>
  <c r="R41" i="58"/>
  <c r="P40" i="58"/>
  <c r="R47" i="58"/>
  <c r="P46" i="58"/>
  <c r="AA18" i="58"/>
  <c r="Z19" i="58"/>
  <c r="AA20" i="58"/>
  <c r="Z24" i="58"/>
  <c r="AB24" i="58"/>
  <c r="AA25" i="58"/>
  <c r="J26" i="58"/>
  <c r="L26" i="58"/>
  <c r="S26" i="58"/>
  <c r="X26" i="58"/>
  <c r="AA26" i="58" s="1"/>
  <c r="AA27" i="58"/>
  <c r="AB28" i="58"/>
  <c r="AA29" i="58"/>
  <c r="AB30" i="58"/>
  <c r="R32" i="58"/>
  <c r="Z33" i="58"/>
  <c r="AB33" i="58"/>
  <c r="S35" i="58"/>
  <c r="X35" i="58"/>
  <c r="AA35" i="58" s="1"/>
  <c r="L44" i="58"/>
  <c r="S44" i="58"/>
  <c r="L50" i="58"/>
  <c r="S50" i="58"/>
  <c r="K26" i="58"/>
  <c r="H31" i="58"/>
  <c r="X31" i="58"/>
  <c r="R14" i="57"/>
  <c r="P13" i="57"/>
  <c r="J14" i="57"/>
  <c r="H13" i="57"/>
  <c r="K12" i="57"/>
  <c r="H7" i="57"/>
  <c r="Z14" i="57"/>
  <c r="X13" i="57"/>
  <c r="Z17" i="57"/>
  <c r="AB17" i="57"/>
  <c r="P31" i="57"/>
  <c r="R32" i="57"/>
  <c r="J41" i="57"/>
  <c r="H40" i="57"/>
  <c r="J47" i="57"/>
  <c r="H46" i="57"/>
  <c r="S23" i="57"/>
  <c r="Q22" i="57"/>
  <c r="T23" i="57" s="1"/>
  <c r="Z32" i="57"/>
  <c r="X31" i="57"/>
  <c r="R41" i="57"/>
  <c r="P40" i="57"/>
  <c r="R47" i="57"/>
  <c r="P46" i="57"/>
  <c r="AA15" i="57"/>
  <c r="AB16" i="57"/>
  <c r="K17" i="57"/>
  <c r="S17" i="57"/>
  <c r="AA18" i="57"/>
  <c r="AB19" i="57"/>
  <c r="AA20" i="57"/>
  <c r="AB21" i="57"/>
  <c r="R23" i="57"/>
  <c r="Z24" i="57"/>
  <c r="AB24" i="57"/>
  <c r="AA25" i="57"/>
  <c r="L26" i="57"/>
  <c r="S26" i="57"/>
  <c r="X26" i="57"/>
  <c r="AA26" i="57" s="1"/>
  <c r="AA27" i="57"/>
  <c r="AB28" i="57"/>
  <c r="AA29" i="57"/>
  <c r="Z33" i="57"/>
  <c r="AB33" i="57"/>
  <c r="AA34" i="57"/>
  <c r="L35" i="57"/>
  <c r="S35" i="57"/>
  <c r="X35" i="57"/>
  <c r="AA35" i="57" s="1"/>
  <c r="AA36" i="57"/>
  <c r="J50" i="57"/>
  <c r="Z15" i="57"/>
  <c r="AB15" i="57"/>
  <c r="H22" i="57"/>
  <c r="X22" i="57"/>
  <c r="H31" i="57"/>
  <c r="Q50" i="56"/>
  <c r="T50" i="56" s="1"/>
  <c r="P50" i="56"/>
  <c r="O50" i="56"/>
  <c r="R50" i="56" s="1"/>
  <c r="N50" i="56"/>
  <c r="L50" i="56"/>
  <c r="K50" i="56"/>
  <c r="J50" i="56"/>
  <c r="I50" i="56"/>
  <c r="T49" i="56"/>
  <c r="S49" i="56"/>
  <c r="R49" i="56"/>
  <c r="L49" i="56"/>
  <c r="K49" i="56"/>
  <c r="J49" i="56"/>
  <c r="T48" i="56"/>
  <c r="S48" i="56"/>
  <c r="R48" i="56"/>
  <c r="L48" i="56"/>
  <c r="K48" i="56"/>
  <c r="J48" i="56"/>
  <c r="O46" i="56"/>
  <c r="P46" i="56" s="1"/>
  <c r="N46" i="56"/>
  <c r="G46" i="56"/>
  <c r="J47" i="56" s="1"/>
  <c r="F46" i="56"/>
  <c r="Q44" i="56"/>
  <c r="P44" i="56"/>
  <c r="S44" i="56" s="1"/>
  <c r="O44" i="56"/>
  <c r="N44" i="56"/>
  <c r="R44" i="56" s="1"/>
  <c r="K44" i="56"/>
  <c r="I44" i="56"/>
  <c r="L44" i="56" s="1"/>
  <c r="H44" i="56"/>
  <c r="F44" i="56"/>
  <c r="J44" i="56" s="1"/>
  <c r="T43" i="56"/>
  <c r="S43" i="56"/>
  <c r="R43" i="56"/>
  <c r="L43" i="56"/>
  <c r="K43" i="56"/>
  <c r="J43" i="56"/>
  <c r="T42" i="56"/>
  <c r="S42" i="56"/>
  <c r="R42" i="56"/>
  <c r="L42" i="56"/>
  <c r="K42" i="56"/>
  <c r="J42" i="56"/>
  <c r="N40" i="56"/>
  <c r="O40" i="56" s="1"/>
  <c r="F40" i="56"/>
  <c r="G40" i="56" s="1"/>
  <c r="X36" i="56"/>
  <c r="AB36" i="56" s="1"/>
  <c r="W36" i="56"/>
  <c r="Z36" i="56" s="1"/>
  <c r="V36" i="56"/>
  <c r="T36" i="56"/>
  <c r="S36" i="56"/>
  <c r="R36" i="56"/>
  <c r="L36" i="56"/>
  <c r="K36" i="56"/>
  <c r="J36" i="56"/>
  <c r="Y35" i="56"/>
  <c r="AB35" i="56" s="1"/>
  <c r="X35" i="56"/>
  <c r="W35" i="56"/>
  <c r="Z35" i="56" s="1"/>
  <c r="V35" i="56"/>
  <c r="T35" i="56"/>
  <c r="S35" i="56"/>
  <c r="R35" i="56"/>
  <c r="L35" i="56"/>
  <c r="K35" i="56"/>
  <c r="J35" i="56"/>
  <c r="Y34" i="56"/>
  <c r="X34" i="56"/>
  <c r="AA34" i="56" s="1"/>
  <c r="W34" i="56"/>
  <c r="V34" i="56"/>
  <c r="Z34" i="56" s="1"/>
  <c r="T34" i="56"/>
  <c r="S34" i="56"/>
  <c r="R34" i="56"/>
  <c r="L34" i="56"/>
  <c r="K34" i="56"/>
  <c r="J34" i="56"/>
  <c r="Y33" i="56"/>
  <c r="AB33" i="56" s="1"/>
  <c r="X33" i="56"/>
  <c r="W33" i="56"/>
  <c r="Z33" i="56" s="1"/>
  <c r="V33" i="56"/>
  <c r="T33" i="56"/>
  <c r="S33" i="56"/>
  <c r="R33" i="56"/>
  <c r="L33" i="56"/>
  <c r="K33" i="56"/>
  <c r="J33" i="56"/>
  <c r="V31" i="56"/>
  <c r="W31" i="56" s="1"/>
  <c r="N31" i="56"/>
  <c r="O31" i="56" s="1"/>
  <c r="F31" i="56"/>
  <c r="G31" i="56" s="1"/>
  <c r="Y30" i="56"/>
  <c r="AB30" i="56" s="1"/>
  <c r="X30" i="56"/>
  <c r="AA30" i="56" s="1"/>
  <c r="W30" i="56"/>
  <c r="Z30" i="56" s="1"/>
  <c r="V30" i="56"/>
  <c r="T30" i="56"/>
  <c r="S30" i="56"/>
  <c r="R30" i="56"/>
  <c r="L30" i="56"/>
  <c r="K30" i="56"/>
  <c r="J30" i="56"/>
  <c r="Y29" i="56"/>
  <c r="X29" i="56"/>
  <c r="AA29" i="56" s="1"/>
  <c r="W29" i="56"/>
  <c r="V29" i="56"/>
  <c r="Z29" i="56" s="1"/>
  <c r="T29" i="56"/>
  <c r="S29" i="56"/>
  <c r="R29" i="56"/>
  <c r="L29" i="56"/>
  <c r="K29" i="56"/>
  <c r="J29" i="56"/>
  <c r="Y28" i="56"/>
  <c r="AB28" i="56" s="1"/>
  <c r="X28" i="56"/>
  <c r="W28" i="56"/>
  <c r="Z28" i="56" s="1"/>
  <c r="V28" i="56"/>
  <c r="T28" i="56"/>
  <c r="S28" i="56"/>
  <c r="R28" i="56"/>
  <c r="L28" i="56"/>
  <c r="K28" i="56"/>
  <c r="J28" i="56"/>
  <c r="Y27" i="56"/>
  <c r="X27" i="56"/>
  <c r="AA27" i="56" s="1"/>
  <c r="W27" i="56"/>
  <c r="V27" i="56"/>
  <c r="Z27" i="56" s="1"/>
  <c r="T27" i="56"/>
  <c r="S27" i="56"/>
  <c r="R27" i="56"/>
  <c r="L27" i="56"/>
  <c r="K27" i="56"/>
  <c r="J27" i="56"/>
  <c r="Y26" i="56"/>
  <c r="AB26" i="56" s="1"/>
  <c r="X26" i="56"/>
  <c r="Z26" i="56" s="1"/>
  <c r="W26" i="56"/>
  <c r="AA26" i="56" s="1"/>
  <c r="V26" i="56"/>
  <c r="T26" i="56"/>
  <c r="S26" i="56"/>
  <c r="R26" i="56"/>
  <c r="L26" i="56"/>
  <c r="K26" i="56"/>
  <c r="J26" i="56"/>
  <c r="AB25" i="56"/>
  <c r="X25" i="56"/>
  <c r="AA25" i="56" s="1"/>
  <c r="W25" i="56"/>
  <c r="Z25" i="56" s="1"/>
  <c r="V25" i="56"/>
  <c r="T25" i="56"/>
  <c r="S25" i="56"/>
  <c r="R25" i="56"/>
  <c r="L25" i="56"/>
  <c r="K25" i="56"/>
  <c r="J25" i="56"/>
  <c r="Y24" i="56"/>
  <c r="X24" i="56"/>
  <c r="AA24" i="56" s="1"/>
  <c r="W24" i="56"/>
  <c r="V24" i="56"/>
  <c r="Z24" i="56" s="1"/>
  <c r="T24" i="56"/>
  <c r="S24" i="56"/>
  <c r="R24" i="56"/>
  <c r="L24" i="56"/>
  <c r="K24" i="56"/>
  <c r="J24" i="56"/>
  <c r="W22" i="56"/>
  <c r="Z23" i="56" s="1"/>
  <c r="V22" i="56"/>
  <c r="O22" i="56"/>
  <c r="P22" i="56" s="1"/>
  <c r="N22" i="56"/>
  <c r="G22" i="56"/>
  <c r="J23" i="56" s="1"/>
  <c r="F22" i="56"/>
  <c r="Y21" i="56"/>
  <c r="X21" i="56"/>
  <c r="AA21" i="56" s="1"/>
  <c r="W21" i="56"/>
  <c r="V21" i="56"/>
  <c r="Z21" i="56" s="1"/>
  <c r="T21" i="56"/>
  <c r="S21" i="56"/>
  <c r="R21" i="56"/>
  <c r="L21" i="56"/>
  <c r="K21" i="56"/>
  <c r="J21" i="56"/>
  <c r="Y20" i="56"/>
  <c r="AB20" i="56" s="1"/>
  <c r="X20" i="56"/>
  <c r="W20" i="56"/>
  <c r="Z20" i="56" s="1"/>
  <c r="V20" i="56"/>
  <c r="T20" i="56"/>
  <c r="S20" i="56"/>
  <c r="R20" i="56"/>
  <c r="L20" i="56"/>
  <c r="K20" i="56"/>
  <c r="J20" i="56"/>
  <c r="Y19" i="56"/>
  <c r="X19" i="56"/>
  <c r="AA19" i="56" s="1"/>
  <c r="W19" i="56"/>
  <c r="V19" i="56"/>
  <c r="Z19" i="56" s="1"/>
  <c r="T19" i="56"/>
  <c r="S19" i="56"/>
  <c r="R19" i="56"/>
  <c r="L19" i="56"/>
  <c r="K19" i="56"/>
  <c r="J19" i="56"/>
  <c r="Y18" i="56"/>
  <c r="AB18" i="56" s="1"/>
  <c r="X18" i="56"/>
  <c r="W18" i="56"/>
  <c r="Z18" i="56" s="1"/>
  <c r="V18" i="56"/>
  <c r="T18" i="56"/>
  <c r="S18" i="56"/>
  <c r="R18" i="56"/>
  <c r="L18" i="56"/>
  <c r="K18" i="56"/>
  <c r="J18" i="56"/>
  <c r="X17" i="56"/>
  <c r="V17" i="56"/>
  <c r="Q17" i="56"/>
  <c r="Y17" i="56" s="1"/>
  <c r="AB17" i="56" s="1"/>
  <c r="P17" i="56"/>
  <c r="O17" i="56"/>
  <c r="W17" i="56" s="1"/>
  <c r="Z17" i="56" s="1"/>
  <c r="N17" i="56"/>
  <c r="M17" i="56"/>
  <c r="L17" i="56"/>
  <c r="K17" i="56"/>
  <c r="J17" i="56"/>
  <c r="Y16" i="56"/>
  <c r="X16" i="56"/>
  <c r="AA16" i="56" s="1"/>
  <c r="W16" i="56"/>
  <c r="V16" i="56"/>
  <c r="Z16" i="56" s="1"/>
  <c r="T16" i="56"/>
  <c r="S16" i="56"/>
  <c r="R16" i="56"/>
  <c r="L16" i="56"/>
  <c r="K16" i="56"/>
  <c r="J16" i="56"/>
  <c r="Y15" i="56"/>
  <c r="AB15" i="56" s="1"/>
  <c r="X15" i="56"/>
  <c r="W15" i="56"/>
  <c r="Z15" i="56" s="1"/>
  <c r="V15" i="56"/>
  <c r="T15" i="56"/>
  <c r="S15" i="56"/>
  <c r="R15" i="56"/>
  <c r="L15" i="56"/>
  <c r="K15" i="56"/>
  <c r="J15" i="56"/>
  <c r="V13" i="56"/>
  <c r="W13" i="56" s="1"/>
  <c r="N13" i="56"/>
  <c r="O13" i="56" s="1"/>
  <c r="F13" i="56"/>
  <c r="G13" i="56" s="1"/>
  <c r="J12" i="56"/>
  <c r="H12" i="56"/>
  <c r="L12" i="56" s="1"/>
  <c r="L11" i="56"/>
  <c r="K11" i="56"/>
  <c r="J11" i="56"/>
  <c r="L10" i="56"/>
  <c r="K10" i="56"/>
  <c r="J10" i="56"/>
  <c r="L9" i="56"/>
  <c r="K9" i="56"/>
  <c r="J9" i="56"/>
  <c r="G7" i="56"/>
  <c r="J8" i="56" s="1"/>
  <c r="D7" i="56"/>
  <c r="I52" i="55"/>
  <c r="Q50" i="55"/>
  <c r="P50" i="55"/>
  <c r="S50" i="55" s="1"/>
  <c r="O50" i="55"/>
  <c r="N50" i="55"/>
  <c r="R50" i="55" s="1"/>
  <c r="I50" i="55"/>
  <c r="L50" i="55" s="1"/>
  <c r="H50" i="55"/>
  <c r="G50" i="55"/>
  <c r="J50" i="55" s="1"/>
  <c r="F50" i="55"/>
  <c r="T49" i="55"/>
  <c r="S49" i="55"/>
  <c r="R49" i="55"/>
  <c r="L49" i="55"/>
  <c r="K49" i="55"/>
  <c r="J49" i="55"/>
  <c r="T48" i="55"/>
  <c r="S48" i="55"/>
  <c r="R48" i="55"/>
  <c r="L48" i="55"/>
  <c r="K48" i="55"/>
  <c r="J48" i="55"/>
  <c r="O46" i="55"/>
  <c r="P46" i="55" s="1"/>
  <c r="N46" i="55"/>
  <c r="F46" i="55"/>
  <c r="G46" i="55" s="1"/>
  <c r="Q44" i="55"/>
  <c r="T44" i="55" s="1"/>
  <c r="P44" i="55"/>
  <c r="S44" i="55" s="1"/>
  <c r="O44" i="55"/>
  <c r="R44" i="55" s="1"/>
  <c r="N44" i="55"/>
  <c r="I44" i="55"/>
  <c r="L44" i="55" s="1"/>
  <c r="H44" i="55"/>
  <c r="K44" i="55" s="1"/>
  <c r="G44" i="55"/>
  <c r="J44" i="55" s="1"/>
  <c r="F44" i="55"/>
  <c r="T43" i="55"/>
  <c r="S43" i="55"/>
  <c r="R43" i="55"/>
  <c r="L43" i="55"/>
  <c r="K43" i="55"/>
  <c r="J43" i="55"/>
  <c r="T42" i="55"/>
  <c r="S42" i="55"/>
  <c r="R42" i="55"/>
  <c r="L42" i="55"/>
  <c r="K42" i="55"/>
  <c r="J42" i="55"/>
  <c r="N40" i="55"/>
  <c r="O40" i="55" s="1"/>
  <c r="F40" i="55"/>
  <c r="G40" i="55" s="1"/>
  <c r="Q35" i="55"/>
  <c r="Q36" i="55" s="1"/>
  <c r="P35" i="55"/>
  <c r="P36" i="55" s="1"/>
  <c r="S36" i="55" s="1"/>
  <c r="O35" i="55"/>
  <c r="O36" i="55" s="1"/>
  <c r="N35" i="55"/>
  <c r="N36" i="55" s="1"/>
  <c r="T34" i="55"/>
  <c r="S34" i="55"/>
  <c r="R34" i="55"/>
  <c r="I34" i="55"/>
  <c r="Y34" i="55" s="1"/>
  <c r="G34" i="55"/>
  <c r="W34" i="55" s="1"/>
  <c r="F34" i="55"/>
  <c r="V34" i="55" s="1"/>
  <c r="Y33" i="55"/>
  <c r="T33" i="55"/>
  <c r="S33" i="55"/>
  <c r="R33" i="55"/>
  <c r="H33" i="55"/>
  <c r="G33" i="55"/>
  <c r="J33" i="55" s="1"/>
  <c r="F33" i="55"/>
  <c r="F35" i="55" s="1"/>
  <c r="F36" i="55" s="1"/>
  <c r="V31" i="55"/>
  <c r="W31" i="55" s="1"/>
  <c r="N31" i="55"/>
  <c r="O31" i="55" s="1"/>
  <c r="F31" i="55"/>
  <c r="G31" i="55" s="1"/>
  <c r="Y30" i="55"/>
  <c r="AB30" i="55" s="1"/>
  <c r="X30" i="55"/>
  <c r="AA30" i="55" s="1"/>
  <c r="T30" i="55"/>
  <c r="S30" i="55"/>
  <c r="R30" i="55"/>
  <c r="L30" i="55"/>
  <c r="G30" i="55"/>
  <c r="W30" i="55" s="1"/>
  <c r="F30" i="55"/>
  <c r="V30" i="55" s="1"/>
  <c r="W29" i="55"/>
  <c r="Z29" i="55" s="1"/>
  <c r="V29" i="55"/>
  <c r="T29" i="55"/>
  <c r="S29" i="55"/>
  <c r="R29" i="55"/>
  <c r="J29" i="55"/>
  <c r="H29" i="55"/>
  <c r="X29" i="55" s="1"/>
  <c r="AA29" i="55" s="1"/>
  <c r="Y28" i="55"/>
  <c r="W28" i="55"/>
  <c r="Z28" i="55" s="1"/>
  <c r="V28" i="55"/>
  <c r="T28" i="55"/>
  <c r="S28" i="55"/>
  <c r="R28" i="55"/>
  <c r="J28" i="55"/>
  <c r="H28" i="55"/>
  <c r="K28" i="55" s="1"/>
  <c r="T27" i="55"/>
  <c r="S27" i="55"/>
  <c r="R27" i="55"/>
  <c r="G27" i="55"/>
  <c r="W27" i="55" s="1"/>
  <c r="F27" i="55"/>
  <c r="V27" i="55" s="1"/>
  <c r="Q26" i="55"/>
  <c r="T26" i="55" s="1"/>
  <c r="P26" i="55"/>
  <c r="O26" i="55"/>
  <c r="S26" i="55" s="1"/>
  <c r="N26" i="55"/>
  <c r="I26" i="55"/>
  <c r="H26" i="55"/>
  <c r="L26" i="55" s="1"/>
  <c r="G26" i="55"/>
  <c r="F26" i="55"/>
  <c r="J26" i="55" s="1"/>
  <c r="Y25" i="55"/>
  <c r="AB25" i="55" s="1"/>
  <c r="X25" i="55"/>
  <c r="AA25" i="55" s="1"/>
  <c r="W25" i="55"/>
  <c r="Z25" i="55" s="1"/>
  <c r="V25" i="55"/>
  <c r="T25" i="55"/>
  <c r="S25" i="55"/>
  <c r="R25" i="55"/>
  <c r="L25" i="55"/>
  <c r="K25" i="55"/>
  <c r="J25" i="55"/>
  <c r="Y24" i="55"/>
  <c r="X24" i="55"/>
  <c r="X26" i="55" s="1"/>
  <c r="W24" i="55"/>
  <c r="V24" i="55"/>
  <c r="V26" i="55" s="1"/>
  <c r="T24" i="55"/>
  <c r="S24" i="55"/>
  <c r="R24" i="55"/>
  <c r="L24" i="55"/>
  <c r="K24" i="55"/>
  <c r="J24" i="55"/>
  <c r="W22" i="55"/>
  <c r="Z23" i="55" s="1"/>
  <c r="V22" i="55"/>
  <c r="O22" i="55"/>
  <c r="P22" i="55" s="1"/>
  <c r="N22" i="55"/>
  <c r="G22" i="55"/>
  <c r="J23" i="55" s="1"/>
  <c r="F22" i="55"/>
  <c r="Y21" i="55"/>
  <c r="X21" i="55"/>
  <c r="AA21" i="55" s="1"/>
  <c r="W21" i="55"/>
  <c r="V21" i="55"/>
  <c r="Z21" i="55" s="1"/>
  <c r="T21" i="55"/>
  <c r="S21" i="55"/>
  <c r="R21" i="55"/>
  <c r="L21" i="55"/>
  <c r="K21" i="55"/>
  <c r="J21" i="55"/>
  <c r="Y20" i="55"/>
  <c r="AB20" i="55" s="1"/>
  <c r="X20" i="55"/>
  <c r="W20" i="55"/>
  <c r="Z20" i="55" s="1"/>
  <c r="V20" i="55"/>
  <c r="T20" i="55"/>
  <c r="S20" i="55"/>
  <c r="R20" i="55"/>
  <c r="L20" i="55"/>
  <c r="K20" i="55"/>
  <c r="J20" i="55"/>
  <c r="Y19" i="55"/>
  <c r="X19" i="55"/>
  <c r="AA19" i="55" s="1"/>
  <c r="W19" i="55"/>
  <c r="V19" i="55"/>
  <c r="Z19" i="55" s="1"/>
  <c r="T19" i="55"/>
  <c r="S19" i="55"/>
  <c r="R19" i="55"/>
  <c r="L19" i="55"/>
  <c r="K19" i="55"/>
  <c r="J19" i="55"/>
  <c r="Y18" i="55"/>
  <c r="AB18" i="55" s="1"/>
  <c r="X18" i="55"/>
  <c r="W18" i="55"/>
  <c r="Z18" i="55" s="1"/>
  <c r="V18" i="55"/>
  <c r="T18" i="55"/>
  <c r="S18" i="55"/>
  <c r="R18" i="55"/>
  <c r="L18" i="55"/>
  <c r="K18" i="55"/>
  <c r="J18" i="55"/>
  <c r="Q17" i="55"/>
  <c r="T17" i="55" s="1"/>
  <c r="P17" i="55"/>
  <c r="O17" i="55"/>
  <c r="R17" i="55" s="1"/>
  <c r="N17" i="55"/>
  <c r="M17" i="55"/>
  <c r="I17" i="55"/>
  <c r="L17" i="55" s="1"/>
  <c r="H17" i="55"/>
  <c r="G17" i="55"/>
  <c r="J17" i="55" s="1"/>
  <c r="F17" i="55"/>
  <c r="Y16" i="55"/>
  <c r="X16" i="55"/>
  <c r="AA16" i="55" s="1"/>
  <c r="W16" i="55"/>
  <c r="V16" i="55"/>
  <c r="V17" i="55" s="1"/>
  <c r="T16" i="55"/>
  <c r="S16" i="55"/>
  <c r="R16" i="55"/>
  <c r="L16" i="55"/>
  <c r="K16" i="55"/>
  <c r="J16" i="55"/>
  <c r="Y15" i="55"/>
  <c r="Y17" i="55" s="1"/>
  <c r="X15" i="55"/>
  <c r="W15" i="55"/>
  <c r="W17" i="55" s="1"/>
  <c r="V15" i="55"/>
  <c r="T15" i="55"/>
  <c r="S15" i="55"/>
  <c r="R15" i="55"/>
  <c r="L15" i="55"/>
  <c r="K15" i="55"/>
  <c r="J15" i="55"/>
  <c r="V13" i="55"/>
  <c r="W13" i="55" s="1"/>
  <c r="N13" i="55"/>
  <c r="O13" i="55" s="1"/>
  <c r="F13" i="55"/>
  <c r="G13" i="55" s="1"/>
  <c r="I12" i="55"/>
  <c r="L12" i="55" s="1"/>
  <c r="H12" i="55"/>
  <c r="G12" i="55"/>
  <c r="J12" i="55" s="1"/>
  <c r="F12" i="55"/>
  <c r="L11" i="55"/>
  <c r="K11" i="55"/>
  <c r="J11" i="55"/>
  <c r="I11" i="55"/>
  <c r="L10" i="55"/>
  <c r="K10" i="55"/>
  <c r="J10" i="55"/>
  <c r="I10" i="55"/>
  <c r="L9" i="55"/>
  <c r="K9" i="55"/>
  <c r="J9" i="55"/>
  <c r="I9" i="55"/>
  <c r="J8" i="55"/>
  <c r="H7" i="55"/>
  <c r="K8" i="55" s="1"/>
  <c r="G7" i="55"/>
  <c r="D7" i="55"/>
  <c r="Q50" i="54"/>
  <c r="P50" i="54"/>
  <c r="T50" i="54" s="1"/>
  <c r="O50" i="54"/>
  <c r="N50" i="54"/>
  <c r="R50" i="54" s="1"/>
  <c r="I50" i="54"/>
  <c r="L50" i="54" s="1"/>
  <c r="H50" i="54"/>
  <c r="G50" i="54"/>
  <c r="K50" i="54" s="1"/>
  <c r="F50" i="54"/>
  <c r="T49" i="54"/>
  <c r="S49" i="54"/>
  <c r="R49" i="54"/>
  <c r="L49" i="54"/>
  <c r="K49" i="54"/>
  <c r="J49" i="54"/>
  <c r="T48" i="54"/>
  <c r="S48" i="54"/>
  <c r="R48" i="54"/>
  <c r="L48" i="54"/>
  <c r="K48" i="54"/>
  <c r="J48" i="54"/>
  <c r="O46" i="54"/>
  <c r="R47" i="54" s="1"/>
  <c r="N46" i="54"/>
  <c r="G46" i="54"/>
  <c r="J47" i="54" s="1"/>
  <c r="F46" i="54"/>
  <c r="Q44" i="54"/>
  <c r="P44" i="54"/>
  <c r="T44" i="54" s="1"/>
  <c r="O44" i="54"/>
  <c r="N44" i="54"/>
  <c r="R44" i="54" s="1"/>
  <c r="I44" i="54"/>
  <c r="L44" i="54" s="1"/>
  <c r="H44" i="54"/>
  <c r="G44" i="54"/>
  <c r="K44" i="54" s="1"/>
  <c r="F44" i="54"/>
  <c r="T43" i="54"/>
  <c r="S43" i="54"/>
  <c r="R43" i="54"/>
  <c r="L43" i="54"/>
  <c r="K43" i="54"/>
  <c r="J43" i="54"/>
  <c r="T42" i="54"/>
  <c r="S42" i="54"/>
  <c r="R42" i="54"/>
  <c r="L42" i="54"/>
  <c r="K42" i="54"/>
  <c r="J42" i="54"/>
  <c r="O40" i="54"/>
  <c r="R41" i="54" s="1"/>
  <c r="N40" i="54"/>
  <c r="G40" i="54"/>
  <c r="J41" i="54" s="1"/>
  <c r="F40" i="54"/>
  <c r="Y36" i="54"/>
  <c r="X36" i="54"/>
  <c r="AB36" i="54" s="1"/>
  <c r="W36" i="54"/>
  <c r="V36" i="54"/>
  <c r="Z36" i="54" s="1"/>
  <c r="T36" i="54"/>
  <c r="S36" i="54"/>
  <c r="R36" i="54"/>
  <c r="L36" i="54"/>
  <c r="K36" i="54"/>
  <c r="J36" i="54"/>
  <c r="T35" i="54"/>
  <c r="S35" i="54"/>
  <c r="R35" i="54"/>
  <c r="Y34" i="54"/>
  <c r="X34" i="54"/>
  <c r="AB34" i="54" s="1"/>
  <c r="W34" i="54"/>
  <c r="V34" i="54"/>
  <c r="Z34" i="54" s="1"/>
  <c r="T34" i="54"/>
  <c r="S34" i="54"/>
  <c r="R34" i="54"/>
  <c r="L34" i="54"/>
  <c r="K34" i="54"/>
  <c r="J34" i="54"/>
  <c r="Y33" i="54"/>
  <c r="Y35" i="54" s="1"/>
  <c r="X33" i="54"/>
  <c r="X35" i="54" s="1"/>
  <c r="AA35" i="54" s="1"/>
  <c r="W33" i="54"/>
  <c r="W35" i="54" s="1"/>
  <c r="V33" i="54"/>
  <c r="V35" i="54" s="1"/>
  <c r="T33" i="54"/>
  <c r="S33" i="54"/>
  <c r="R33" i="54"/>
  <c r="L33" i="54"/>
  <c r="K33" i="54"/>
  <c r="J33" i="54"/>
  <c r="V31" i="54"/>
  <c r="W31" i="54" s="1"/>
  <c r="N31" i="54"/>
  <c r="O31" i="54" s="1"/>
  <c r="F31" i="54"/>
  <c r="G31" i="54" s="1"/>
  <c r="Y30" i="54"/>
  <c r="AB30" i="54" s="1"/>
  <c r="X30" i="54"/>
  <c r="W30" i="54"/>
  <c r="AA30" i="54" s="1"/>
  <c r="V30" i="54"/>
  <c r="T30" i="54"/>
  <c r="S30" i="54"/>
  <c r="R30" i="54"/>
  <c r="L30" i="54"/>
  <c r="K30" i="54"/>
  <c r="J30" i="54"/>
  <c r="Y29" i="54"/>
  <c r="X29" i="54"/>
  <c r="AB29" i="54" s="1"/>
  <c r="W29" i="54"/>
  <c r="V29" i="54"/>
  <c r="Z29" i="54" s="1"/>
  <c r="T29" i="54"/>
  <c r="S29" i="54"/>
  <c r="R29" i="54"/>
  <c r="L29" i="54"/>
  <c r="K29" i="54"/>
  <c r="J29" i="54"/>
  <c r="Y28" i="54"/>
  <c r="AB28" i="54" s="1"/>
  <c r="X28" i="54"/>
  <c r="AA28" i="54" s="1"/>
  <c r="W28" i="54"/>
  <c r="Z28" i="54" s="1"/>
  <c r="V28" i="54"/>
  <c r="T28" i="54"/>
  <c r="S28" i="54"/>
  <c r="R28" i="54"/>
  <c r="L28" i="54"/>
  <c r="K28" i="54"/>
  <c r="J28" i="54"/>
  <c r="Y27" i="54"/>
  <c r="AB27" i="54" s="1"/>
  <c r="X27" i="54"/>
  <c r="AA27" i="54" s="1"/>
  <c r="W27" i="54"/>
  <c r="Z27" i="54" s="1"/>
  <c r="V27" i="54"/>
  <c r="T27" i="54"/>
  <c r="S27" i="54"/>
  <c r="R27" i="54"/>
  <c r="L27" i="54"/>
  <c r="K27" i="54"/>
  <c r="J27" i="54"/>
  <c r="T26" i="54"/>
  <c r="S26" i="54"/>
  <c r="R26" i="54"/>
  <c r="I26" i="54"/>
  <c r="I38" i="54" s="1"/>
  <c r="H26" i="54"/>
  <c r="K26" i="54" s="1"/>
  <c r="G26" i="54"/>
  <c r="G38" i="54" s="1"/>
  <c r="F26" i="54"/>
  <c r="F38" i="54" s="1"/>
  <c r="Y25" i="54"/>
  <c r="AB25" i="54" s="1"/>
  <c r="X25" i="54"/>
  <c r="AA25" i="54" s="1"/>
  <c r="W25" i="54"/>
  <c r="Z25" i="54" s="1"/>
  <c r="V25" i="54"/>
  <c r="T25" i="54"/>
  <c r="S25" i="54"/>
  <c r="R25" i="54"/>
  <c r="L25" i="54"/>
  <c r="K25" i="54"/>
  <c r="J25" i="54"/>
  <c r="Y24" i="54"/>
  <c r="Y26" i="54" s="1"/>
  <c r="X24" i="54"/>
  <c r="AA24" i="54" s="1"/>
  <c r="W24" i="54"/>
  <c r="W26" i="54" s="1"/>
  <c r="V24" i="54"/>
  <c r="V26" i="54" s="1"/>
  <c r="T24" i="54"/>
  <c r="S24" i="54"/>
  <c r="R24" i="54"/>
  <c r="L24" i="54"/>
  <c r="K24" i="54"/>
  <c r="J24" i="54"/>
  <c r="W22" i="54"/>
  <c r="Z23" i="54" s="1"/>
  <c r="V22" i="54"/>
  <c r="O22" i="54"/>
  <c r="P22" i="54" s="1"/>
  <c r="N22" i="54"/>
  <c r="G22" i="54"/>
  <c r="J23" i="54" s="1"/>
  <c r="F22" i="54"/>
  <c r="Y21" i="54"/>
  <c r="X21" i="54"/>
  <c r="AA21" i="54" s="1"/>
  <c r="W21" i="54"/>
  <c r="V21" i="54"/>
  <c r="Z21" i="54" s="1"/>
  <c r="T21" i="54"/>
  <c r="S21" i="54"/>
  <c r="R21" i="54"/>
  <c r="L21" i="54"/>
  <c r="K21" i="54"/>
  <c r="J21" i="54"/>
  <c r="Y20" i="54"/>
  <c r="AB20" i="54" s="1"/>
  <c r="X20" i="54"/>
  <c r="W20" i="54"/>
  <c r="Z20" i="54" s="1"/>
  <c r="V20" i="54"/>
  <c r="T20" i="54"/>
  <c r="S20" i="54"/>
  <c r="R20" i="54"/>
  <c r="L20" i="54"/>
  <c r="K20" i="54"/>
  <c r="J20" i="54"/>
  <c r="Y19" i="54"/>
  <c r="X19" i="54"/>
  <c r="AA19" i="54" s="1"/>
  <c r="W19" i="54"/>
  <c r="V19" i="54"/>
  <c r="Z19" i="54" s="1"/>
  <c r="T19" i="54"/>
  <c r="S19" i="54"/>
  <c r="R19" i="54"/>
  <c r="L19" i="54"/>
  <c r="K19" i="54"/>
  <c r="J19" i="54"/>
  <c r="Y18" i="54"/>
  <c r="AB18" i="54" s="1"/>
  <c r="X18" i="54"/>
  <c r="W18" i="54"/>
  <c r="Z18" i="54" s="1"/>
  <c r="V18" i="54"/>
  <c r="T18" i="54"/>
  <c r="S18" i="54"/>
  <c r="R18" i="54"/>
  <c r="L18" i="54"/>
  <c r="K18" i="54"/>
  <c r="J18" i="54"/>
  <c r="T17" i="54"/>
  <c r="S17" i="54"/>
  <c r="R17" i="54"/>
  <c r="M17" i="54"/>
  <c r="I17" i="54"/>
  <c r="L17" i="54" s="1"/>
  <c r="H17" i="54"/>
  <c r="G17" i="54"/>
  <c r="J17" i="54" s="1"/>
  <c r="F17" i="54"/>
  <c r="Y16" i="54"/>
  <c r="X16" i="54"/>
  <c r="AA16" i="54" s="1"/>
  <c r="W16" i="54"/>
  <c r="V16" i="54"/>
  <c r="Z16" i="54" s="1"/>
  <c r="T16" i="54"/>
  <c r="S16" i="54"/>
  <c r="R16" i="54"/>
  <c r="L16" i="54"/>
  <c r="K16" i="54"/>
  <c r="J16" i="54"/>
  <c r="Y15" i="54"/>
  <c r="Y17" i="54" s="1"/>
  <c r="X15" i="54"/>
  <c r="X17" i="54" s="1"/>
  <c r="AA17" i="54" s="1"/>
  <c r="W15" i="54"/>
  <c r="W17" i="54" s="1"/>
  <c r="V15" i="54"/>
  <c r="V17" i="54" s="1"/>
  <c r="T15" i="54"/>
  <c r="S15" i="54"/>
  <c r="R15" i="54"/>
  <c r="L15" i="54"/>
  <c r="K15" i="54"/>
  <c r="J15" i="54"/>
  <c r="V13" i="54"/>
  <c r="W13" i="54" s="1"/>
  <c r="N13" i="54"/>
  <c r="O13" i="54" s="1"/>
  <c r="F13" i="54"/>
  <c r="G13" i="54" s="1"/>
  <c r="J14" i="54" s="1"/>
  <c r="I12" i="54"/>
  <c r="L12" i="54" s="1"/>
  <c r="H12" i="54"/>
  <c r="G12" i="54"/>
  <c r="J12" i="54" s="1"/>
  <c r="F12" i="54"/>
  <c r="L11" i="54"/>
  <c r="K11" i="54"/>
  <c r="J11" i="54"/>
  <c r="L10" i="54"/>
  <c r="K10" i="54"/>
  <c r="J10" i="54"/>
  <c r="L9" i="54"/>
  <c r="K9" i="54"/>
  <c r="J9" i="54"/>
  <c r="J8" i="54"/>
  <c r="H7" i="54"/>
  <c r="K8" i="54" s="1"/>
  <c r="G7" i="54"/>
  <c r="D7" i="54"/>
  <c r="Q50" i="52"/>
  <c r="T50" i="52" s="1"/>
  <c r="P50" i="52"/>
  <c r="O50" i="52"/>
  <c r="R50" i="52" s="1"/>
  <c r="N50" i="52"/>
  <c r="I50" i="52"/>
  <c r="H50" i="52"/>
  <c r="K50" i="52" s="1"/>
  <c r="G50" i="52"/>
  <c r="F50" i="52"/>
  <c r="J50" i="52" s="1"/>
  <c r="T49" i="52"/>
  <c r="S49" i="52"/>
  <c r="R49" i="52"/>
  <c r="L49" i="52"/>
  <c r="K49" i="52"/>
  <c r="J49" i="52"/>
  <c r="T48" i="52"/>
  <c r="S48" i="52"/>
  <c r="R48" i="52"/>
  <c r="L48" i="52"/>
  <c r="K48" i="52"/>
  <c r="J48" i="52"/>
  <c r="N46" i="52"/>
  <c r="O46" i="52" s="1"/>
  <c r="F46" i="52"/>
  <c r="G46" i="52" s="1"/>
  <c r="Q44" i="52"/>
  <c r="T44" i="52" s="1"/>
  <c r="P44" i="52"/>
  <c r="O44" i="52"/>
  <c r="R44" i="52" s="1"/>
  <c r="N44" i="52"/>
  <c r="I44" i="52"/>
  <c r="H44" i="52"/>
  <c r="K44" i="52" s="1"/>
  <c r="G44" i="52"/>
  <c r="F44" i="52"/>
  <c r="J44" i="52" s="1"/>
  <c r="T43" i="52"/>
  <c r="S43" i="52"/>
  <c r="R43" i="52"/>
  <c r="L43" i="52"/>
  <c r="K43" i="52"/>
  <c r="J43" i="52"/>
  <c r="T42" i="52"/>
  <c r="S42" i="52"/>
  <c r="R42" i="52"/>
  <c r="L42" i="52"/>
  <c r="K42" i="52"/>
  <c r="J42" i="52"/>
  <c r="N40" i="52"/>
  <c r="O40" i="52" s="1"/>
  <c r="F40" i="52"/>
  <c r="G40" i="52" s="1"/>
  <c r="Y36" i="52"/>
  <c r="AB36" i="52" s="1"/>
  <c r="X36" i="52"/>
  <c r="W36" i="52"/>
  <c r="Z36" i="52" s="1"/>
  <c r="V36" i="52"/>
  <c r="T36" i="52"/>
  <c r="S36" i="52"/>
  <c r="R36" i="52"/>
  <c r="L36" i="52"/>
  <c r="K36" i="52"/>
  <c r="J36" i="52"/>
  <c r="Q35" i="52"/>
  <c r="T35" i="52" s="1"/>
  <c r="P35" i="52"/>
  <c r="O35" i="52"/>
  <c r="R35" i="52" s="1"/>
  <c r="N35" i="52"/>
  <c r="I35" i="52"/>
  <c r="H35" i="52"/>
  <c r="K35" i="52" s="1"/>
  <c r="G35" i="52"/>
  <c r="F35" i="52"/>
  <c r="J35" i="52" s="1"/>
  <c r="Y34" i="52"/>
  <c r="AB34" i="52" s="1"/>
  <c r="X34" i="52"/>
  <c r="W34" i="52"/>
  <c r="Z34" i="52" s="1"/>
  <c r="V34" i="52"/>
  <c r="T34" i="52"/>
  <c r="S34" i="52"/>
  <c r="R34" i="52"/>
  <c r="L34" i="52"/>
  <c r="K34" i="52"/>
  <c r="J34" i="52"/>
  <c r="Y33" i="52"/>
  <c r="Y35" i="52" s="1"/>
  <c r="X33" i="52"/>
  <c r="AA33" i="52" s="1"/>
  <c r="W33" i="52"/>
  <c r="W35" i="52" s="1"/>
  <c r="Z35" i="52" s="1"/>
  <c r="V33" i="52"/>
  <c r="V35" i="52" s="1"/>
  <c r="T33" i="52"/>
  <c r="S33" i="52"/>
  <c r="R33" i="52"/>
  <c r="L33" i="52"/>
  <c r="K33" i="52"/>
  <c r="J33" i="52"/>
  <c r="W31" i="52"/>
  <c r="Z32" i="52" s="1"/>
  <c r="V31" i="52"/>
  <c r="O31" i="52"/>
  <c r="P31" i="52" s="1"/>
  <c r="N31" i="52"/>
  <c r="G31" i="52"/>
  <c r="J32" i="52" s="1"/>
  <c r="F31" i="52"/>
  <c r="Y30" i="52"/>
  <c r="X30" i="52"/>
  <c r="AA30" i="52" s="1"/>
  <c r="W30" i="52"/>
  <c r="V30" i="52"/>
  <c r="Z30" i="52" s="1"/>
  <c r="T30" i="52"/>
  <c r="S30" i="52"/>
  <c r="R30" i="52"/>
  <c r="L30" i="52"/>
  <c r="K30" i="52"/>
  <c r="J30" i="52"/>
  <c r="Y29" i="52"/>
  <c r="AB29" i="52" s="1"/>
  <c r="X29" i="52"/>
  <c r="W29" i="52"/>
  <c r="Z29" i="52" s="1"/>
  <c r="V29" i="52"/>
  <c r="T29" i="52"/>
  <c r="S29" i="52"/>
  <c r="R29" i="52"/>
  <c r="L29" i="52"/>
  <c r="K29" i="52"/>
  <c r="J29" i="52"/>
  <c r="Y28" i="52"/>
  <c r="X28" i="52"/>
  <c r="AA28" i="52" s="1"/>
  <c r="W28" i="52"/>
  <c r="V28" i="52"/>
  <c r="Z28" i="52" s="1"/>
  <c r="T28" i="52"/>
  <c r="S28" i="52"/>
  <c r="R28" i="52"/>
  <c r="L28" i="52"/>
  <c r="K28" i="52"/>
  <c r="J28" i="52"/>
  <c r="Y27" i="52"/>
  <c r="AB27" i="52" s="1"/>
  <c r="X27" i="52"/>
  <c r="W27" i="52"/>
  <c r="Z27" i="52" s="1"/>
  <c r="V27" i="52"/>
  <c r="T27" i="52"/>
  <c r="S27" i="52"/>
  <c r="R27" i="52"/>
  <c r="L27" i="52"/>
  <c r="K27" i="52"/>
  <c r="J27" i="52"/>
  <c r="Q26" i="52"/>
  <c r="T26" i="52" s="1"/>
  <c r="P26" i="52"/>
  <c r="O26" i="52"/>
  <c r="R26" i="52" s="1"/>
  <c r="N26" i="52"/>
  <c r="I26" i="52"/>
  <c r="H26" i="52"/>
  <c r="K26" i="52" s="1"/>
  <c r="G26" i="52"/>
  <c r="F26" i="52"/>
  <c r="J26" i="52" s="1"/>
  <c r="Y25" i="52"/>
  <c r="AB25" i="52" s="1"/>
  <c r="X25" i="52"/>
  <c r="W25" i="52"/>
  <c r="Z25" i="52" s="1"/>
  <c r="V25" i="52"/>
  <c r="T25" i="52"/>
  <c r="S25" i="52"/>
  <c r="R25" i="52"/>
  <c r="L25" i="52"/>
  <c r="K25" i="52"/>
  <c r="J25" i="52"/>
  <c r="Y24" i="52"/>
  <c r="Y26" i="52" s="1"/>
  <c r="X24" i="52"/>
  <c r="AA24" i="52" s="1"/>
  <c r="W24" i="52"/>
  <c r="W26" i="52" s="1"/>
  <c r="Z26" i="52" s="1"/>
  <c r="V24" i="52"/>
  <c r="V26" i="52" s="1"/>
  <c r="T24" i="52"/>
  <c r="S24" i="52"/>
  <c r="R24" i="52"/>
  <c r="L24" i="52"/>
  <c r="K24" i="52"/>
  <c r="J24" i="52"/>
  <c r="W22" i="52"/>
  <c r="Z23" i="52" s="1"/>
  <c r="V22" i="52"/>
  <c r="O22" i="52"/>
  <c r="P22" i="52" s="1"/>
  <c r="N22" i="52"/>
  <c r="G22" i="52"/>
  <c r="J23" i="52" s="1"/>
  <c r="F22" i="52"/>
  <c r="Y21" i="52"/>
  <c r="X21" i="52"/>
  <c r="AA21" i="52" s="1"/>
  <c r="W21" i="52"/>
  <c r="V21" i="52"/>
  <c r="Z21" i="52" s="1"/>
  <c r="T21" i="52"/>
  <c r="S21" i="52"/>
  <c r="R21" i="52"/>
  <c r="L21" i="52"/>
  <c r="K21" i="52"/>
  <c r="J21" i="52"/>
  <c r="Y20" i="52"/>
  <c r="AB20" i="52" s="1"/>
  <c r="X20" i="52"/>
  <c r="W20" i="52"/>
  <c r="Z20" i="52" s="1"/>
  <c r="V20" i="52"/>
  <c r="T20" i="52"/>
  <c r="S20" i="52"/>
  <c r="R20" i="52"/>
  <c r="L20" i="52"/>
  <c r="K20" i="52"/>
  <c r="J20" i="52"/>
  <c r="Y19" i="52"/>
  <c r="X19" i="52"/>
  <c r="AA19" i="52" s="1"/>
  <c r="W19" i="52"/>
  <c r="V19" i="52"/>
  <c r="Z19" i="52" s="1"/>
  <c r="T19" i="52"/>
  <c r="S19" i="52"/>
  <c r="R19" i="52"/>
  <c r="L19" i="52"/>
  <c r="K19" i="52"/>
  <c r="J19" i="52"/>
  <c r="Y18" i="52"/>
  <c r="AB18" i="52" s="1"/>
  <c r="X18" i="52"/>
  <c r="W18" i="52"/>
  <c r="Z18" i="52" s="1"/>
  <c r="V18" i="52"/>
  <c r="T18" i="52"/>
  <c r="S18" i="52"/>
  <c r="R18" i="52"/>
  <c r="L18" i="52"/>
  <c r="K18" i="52"/>
  <c r="J18" i="52"/>
  <c r="Q17" i="52"/>
  <c r="T17" i="52" s="1"/>
  <c r="P17" i="52"/>
  <c r="O17" i="52"/>
  <c r="R17" i="52" s="1"/>
  <c r="N17" i="52"/>
  <c r="M17" i="52"/>
  <c r="I17" i="52"/>
  <c r="L17" i="52" s="1"/>
  <c r="H17" i="52"/>
  <c r="G17" i="52"/>
  <c r="J17" i="52" s="1"/>
  <c r="F17" i="52"/>
  <c r="Y16" i="52"/>
  <c r="X16" i="52"/>
  <c r="AA16" i="52" s="1"/>
  <c r="W16" i="52"/>
  <c r="V16" i="52"/>
  <c r="V17" i="52" s="1"/>
  <c r="T16" i="52"/>
  <c r="S16" i="52"/>
  <c r="R16" i="52"/>
  <c r="L16" i="52"/>
  <c r="K16" i="52"/>
  <c r="J16" i="52"/>
  <c r="Y15" i="52"/>
  <c r="Y17" i="52" s="1"/>
  <c r="X15" i="52"/>
  <c r="W15" i="52"/>
  <c r="W17" i="52" s="1"/>
  <c r="V15" i="52"/>
  <c r="T15" i="52"/>
  <c r="S15" i="52"/>
  <c r="R15" i="52"/>
  <c r="L15" i="52"/>
  <c r="K15" i="52"/>
  <c r="J15" i="52"/>
  <c r="V13" i="52"/>
  <c r="W13" i="52" s="1"/>
  <c r="N13" i="52"/>
  <c r="O13" i="52" s="1"/>
  <c r="F13" i="52"/>
  <c r="G13" i="52" s="1"/>
  <c r="K12" i="52"/>
  <c r="I12" i="52"/>
  <c r="L12" i="52" s="1"/>
  <c r="H12" i="52"/>
  <c r="G12" i="52"/>
  <c r="J12" i="52" s="1"/>
  <c r="F12" i="52"/>
  <c r="L11" i="52"/>
  <c r="K11" i="52"/>
  <c r="J11" i="52"/>
  <c r="L10" i="52"/>
  <c r="K10" i="52"/>
  <c r="J10" i="52"/>
  <c r="L9" i="52"/>
  <c r="K9" i="52"/>
  <c r="J9" i="52"/>
  <c r="G7" i="52"/>
  <c r="D7" i="52"/>
  <c r="T50" i="51"/>
  <c r="P50" i="51"/>
  <c r="S50" i="51" s="1"/>
  <c r="O50" i="51"/>
  <c r="R50" i="51" s="1"/>
  <c r="N50" i="51"/>
  <c r="L50" i="51"/>
  <c r="G50" i="51"/>
  <c r="K50" i="51" s="1"/>
  <c r="F50" i="51"/>
  <c r="J50" i="51" s="1"/>
  <c r="T49" i="51"/>
  <c r="S49" i="51"/>
  <c r="R49" i="51"/>
  <c r="L49" i="51"/>
  <c r="K49" i="51"/>
  <c r="J49" i="51"/>
  <c r="T48" i="51"/>
  <c r="S48" i="51"/>
  <c r="R48" i="51"/>
  <c r="L48" i="51"/>
  <c r="K48" i="51"/>
  <c r="J48" i="51"/>
  <c r="N46" i="51"/>
  <c r="O46" i="51" s="1"/>
  <c r="F46" i="51"/>
  <c r="G46" i="51" s="1"/>
  <c r="T44" i="51"/>
  <c r="O44" i="51"/>
  <c r="S44" i="51" s="1"/>
  <c r="N44" i="51"/>
  <c r="L44" i="51"/>
  <c r="G44" i="51"/>
  <c r="K44" i="51" s="1"/>
  <c r="F44" i="51"/>
  <c r="J44" i="51" s="1"/>
  <c r="T43" i="51"/>
  <c r="S43" i="51"/>
  <c r="R43" i="51"/>
  <c r="L43" i="51"/>
  <c r="K43" i="51"/>
  <c r="J43" i="51"/>
  <c r="T42" i="51"/>
  <c r="S42" i="51"/>
  <c r="R42" i="51"/>
  <c r="L42" i="51"/>
  <c r="K42" i="51"/>
  <c r="J42" i="51"/>
  <c r="N40" i="51"/>
  <c r="O40" i="51" s="1"/>
  <c r="F40" i="51"/>
  <c r="G40" i="51" s="1"/>
  <c r="Y36" i="51"/>
  <c r="AB36" i="51" s="1"/>
  <c r="X36" i="51"/>
  <c r="W36" i="51"/>
  <c r="AA36" i="51" s="1"/>
  <c r="V36" i="51"/>
  <c r="T36" i="51"/>
  <c r="S36" i="51"/>
  <c r="R36" i="51"/>
  <c r="L36" i="51"/>
  <c r="K36" i="51"/>
  <c r="J36" i="51"/>
  <c r="Q35" i="51"/>
  <c r="T35" i="51" s="1"/>
  <c r="P35" i="51"/>
  <c r="O35" i="51"/>
  <c r="S35" i="51" s="1"/>
  <c r="N35" i="51"/>
  <c r="I35" i="51"/>
  <c r="H35" i="51"/>
  <c r="L35" i="51" s="1"/>
  <c r="G35" i="51"/>
  <c r="F35" i="51"/>
  <c r="J35" i="51" s="1"/>
  <c r="Y34" i="51"/>
  <c r="AB34" i="51" s="1"/>
  <c r="X34" i="51"/>
  <c r="W34" i="51"/>
  <c r="AA34" i="51" s="1"/>
  <c r="V34" i="51"/>
  <c r="T34" i="51"/>
  <c r="S34" i="51"/>
  <c r="R34" i="51"/>
  <c r="L34" i="51"/>
  <c r="K34" i="51"/>
  <c r="J34" i="51"/>
  <c r="Y33" i="51"/>
  <c r="Y35" i="51" s="1"/>
  <c r="X33" i="51"/>
  <c r="X35" i="51" s="1"/>
  <c r="AA35" i="51" s="1"/>
  <c r="W33" i="51"/>
  <c r="W35" i="51" s="1"/>
  <c r="V33" i="51"/>
  <c r="V35" i="51" s="1"/>
  <c r="T33" i="51"/>
  <c r="S33" i="51"/>
  <c r="R33" i="51"/>
  <c r="L33" i="51"/>
  <c r="K33" i="51"/>
  <c r="J33" i="51"/>
  <c r="W31" i="51"/>
  <c r="Z32" i="51" s="1"/>
  <c r="V31" i="51"/>
  <c r="O31" i="51"/>
  <c r="R32" i="51" s="1"/>
  <c r="N31" i="51"/>
  <c r="G31" i="51"/>
  <c r="J32" i="51" s="1"/>
  <c r="F31" i="51"/>
  <c r="Y30" i="51"/>
  <c r="X30" i="51"/>
  <c r="AB30" i="51" s="1"/>
  <c r="W30" i="51"/>
  <c r="V30" i="51"/>
  <c r="Z30" i="51" s="1"/>
  <c r="T30" i="51"/>
  <c r="S30" i="51"/>
  <c r="R30" i="51"/>
  <c r="L30" i="51"/>
  <c r="K30" i="51"/>
  <c r="J30" i="51"/>
  <c r="Y29" i="51"/>
  <c r="AB29" i="51" s="1"/>
  <c r="X29" i="51"/>
  <c r="W29" i="51"/>
  <c r="AA29" i="51" s="1"/>
  <c r="V29" i="51"/>
  <c r="T29" i="51"/>
  <c r="S29" i="51"/>
  <c r="R29" i="51"/>
  <c r="L29" i="51"/>
  <c r="K29" i="51"/>
  <c r="J29" i="51"/>
  <c r="Y28" i="51"/>
  <c r="X28" i="51"/>
  <c r="AB28" i="51" s="1"/>
  <c r="W28" i="51"/>
  <c r="V28" i="51"/>
  <c r="Z28" i="51" s="1"/>
  <c r="T28" i="51"/>
  <c r="S28" i="51"/>
  <c r="R28" i="51"/>
  <c r="L28" i="51"/>
  <c r="K28" i="51"/>
  <c r="J28" i="51"/>
  <c r="Y27" i="51"/>
  <c r="AB27" i="51" s="1"/>
  <c r="X27" i="51"/>
  <c r="W27" i="51"/>
  <c r="AA27" i="51" s="1"/>
  <c r="V27" i="51"/>
  <c r="T27" i="51"/>
  <c r="S27" i="51"/>
  <c r="R27" i="51"/>
  <c r="L27" i="51"/>
  <c r="K27" i="51"/>
  <c r="J27" i="51"/>
  <c r="Q26" i="51"/>
  <c r="T26" i="51" s="1"/>
  <c r="P26" i="51"/>
  <c r="O26" i="51"/>
  <c r="S26" i="51" s="1"/>
  <c r="N26" i="51"/>
  <c r="I26" i="51"/>
  <c r="H26" i="51"/>
  <c r="L26" i="51" s="1"/>
  <c r="G26" i="51"/>
  <c r="F26" i="51"/>
  <c r="J26" i="51" s="1"/>
  <c r="Y25" i="51"/>
  <c r="AB25" i="51" s="1"/>
  <c r="X25" i="51"/>
  <c r="W25" i="51"/>
  <c r="AA25" i="51" s="1"/>
  <c r="V25" i="51"/>
  <c r="T25" i="51"/>
  <c r="S25" i="51"/>
  <c r="R25" i="51"/>
  <c r="L25" i="51"/>
  <c r="K25" i="51"/>
  <c r="J25" i="51"/>
  <c r="Y24" i="51"/>
  <c r="Y26" i="51" s="1"/>
  <c r="AB26" i="51" s="1"/>
  <c r="X24" i="51"/>
  <c r="X26" i="51" s="1"/>
  <c r="W24" i="51"/>
  <c r="W26" i="51" s="1"/>
  <c r="Z26" i="51" s="1"/>
  <c r="V24" i="51"/>
  <c r="V26" i="51" s="1"/>
  <c r="T24" i="51"/>
  <c r="S24" i="51"/>
  <c r="R24" i="51"/>
  <c r="L24" i="51"/>
  <c r="K24" i="51"/>
  <c r="J24" i="51"/>
  <c r="W22" i="51"/>
  <c r="Z23" i="51" s="1"/>
  <c r="V22" i="51"/>
  <c r="O22" i="51"/>
  <c r="R23" i="51" s="1"/>
  <c r="N22" i="51"/>
  <c r="G22" i="51"/>
  <c r="J23" i="51" s="1"/>
  <c r="F22" i="51"/>
  <c r="Y21" i="51"/>
  <c r="AB21" i="51" s="1"/>
  <c r="X21" i="51"/>
  <c r="AA21" i="51" s="1"/>
  <c r="W21" i="51"/>
  <c r="Z21" i="51" s="1"/>
  <c r="V21" i="51"/>
  <c r="T21" i="51"/>
  <c r="S21" i="51"/>
  <c r="R21" i="51"/>
  <c r="L21" i="51"/>
  <c r="K21" i="51"/>
  <c r="J21" i="51"/>
  <c r="Y20" i="51"/>
  <c r="AB20" i="51" s="1"/>
  <c r="X20" i="51"/>
  <c r="AA20" i="51" s="1"/>
  <c r="W20" i="51"/>
  <c r="Z20" i="51" s="1"/>
  <c r="V20" i="51"/>
  <c r="T20" i="51"/>
  <c r="S20" i="51"/>
  <c r="R20" i="51"/>
  <c r="L20" i="51"/>
  <c r="K20" i="51"/>
  <c r="J20" i="51"/>
  <c r="Y19" i="51"/>
  <c r="AB19" i="51" s="1"/>
  <c r="X19" i="51"/>
  <c r="AA19" i="51" s="1"/>
  <c r="W19" i="51"/>
  <c r="Z19" i="51" s="1"/>
  <c r="V19" i="51"/>
  <c r="T19" i="51"/>
  <c r="S19" i="51"/>
  <c r="R19" i="51"/>
  <c r="L19" i="51"/>
  <c r="K19" i="51"/>
  <c r="J19" i="51"/>
  <c r="Y18" i="51"/>
  <c r="AB18" i="51" s="1"/>
  <c r="X18" i="51"/>
  <c r="AA18" i="51" s="1"/>
  <c r="W18" i="51"/>
  <c r="Z18" i="51" s="1"/>
  <c r="V18" i="51"/>
  <c r="T18" i="51"/>
  <c r="S18" i="51"/>
  <c r="R18" i="51"/>
  <c r="L18" i="51"/>
  <c r="K18" i="51"/>
  <c r="J18" i="51"/>
  <c r="Q17" i="51"/>
  <c r="T17" i="51" s="1"/>
  <c r="P17" i="51"/>
  <c r="S17" i="51" s="1"/>
  <c r="O17" i="51"/>
  <c r="R17" i="51" s="1"/>
  <c r="N17" i="51"/>
  <c r="M17" i="51"/>
  <c r="I17" i="51"/>
  <c r="L17" i="51" s="1"/>
  <c r="H17" i="51"/>
  <c r="K17" i="51" s="1"/>
  <c r="G17" i="51"/>
  <c r="J17" i="51" s="1"/>
  <c r="F17" i="51"/>
  <c r="Y16" i="51"/>
  <c r="AB16" i="51" s="1"/>
  <c r="X16" i="51"/>
  <c r="AA16" i="51" s="1"/>
  <c r="W16" i="51"/>
  <c r="Z16" i="51" s="1"/>
  <c r="V16" i="51"/>
  <c r="T16" i="51"/>
  <c r="S16" i="51"/>
  <c r="R16" i="51"/>
  <c r="L16" i="51"/>
  <c r="K16" i="51"/>
  <c r="J16" i="51"/>
  <c r="Y15" i="51"/>
  <c r="Y17" i="51" s="1"/>
  <c r="X15" i="51"/>
  <c r="X17" i="51" s="1"/>
  <c r="AA17" i="51" s="1"/>
  <c r="W15" i="51"/>
  <c r="W17" i="51" s="1"/>
  <c r="V15" i="51"/>
  <c r="V17" i="51" s="1"/>
  <c r="T15" i="51"/>
  <c r="S15" i="51"/>
  <c r="R15" i="51"/>
  <c r="L15" i="51"/>
  <c r="K15" i="51"/>
  <c r="J15" i="51"/>
  <c r="V13" i="51"/>
  <c r="W13" i="51" s="1"/>
  <c r="N13" i="51"/>
  <c r="O13" i="51" s="1"/>
  <c r="F13" i="51"/>
  <c r="G13" i="51" s="1"/>
  <c r="I12" i="51"/>
  <c r="L12" i="51" s="1"/>
  <c r="H12" i="51"/>
  <c r="G12" i="51"/>
  <c r="J12" i="51" s="1"/>
  <c r="F12" i="51"/>
  <c r="L11" i="51"/>
  <c r="K11" i="51"/>
  <c r="J11" i="51"/>
  <c r="L10" i="51"/>
  <c r="K10" i="51"/>
  <c r="J10" i="51"/>
  <c r="L9" i="51"/>
  <c r="K9" i="51"/>
  <c r="J9" i="51"/>
  <c r="G7" i="51"/>
  <c r="J8" i="51" s="1"/>
  <c r="D7" i="51"/>
  <c r="AB36" i="60" l="1"/>
  <c r="J16" i="59"/>
  <c r="K16" i="59"/>
  <c r="W16" i="59"/>
  <c r="K32" i="58"/>
  <c r="I31" i="58"/>
  <c r="L32" i="58" s="1"/>
  <c r="L36" i="58"/>
  <c r="Y36" i="58"/>
  <c r="J36" i="58"/>
  <c r="W36" i="58"/>
  <c r="Z36" i="58" s="1"/>
  <c r="K8" i="58"/>
  <c r="I7" i="58"/>
  <c r="L8" i="58" s="1"/>
  <c r="S23" i="58"/>
  <c r="Q22" i="58"/>
  <c r="T23" i="58" s="1"/>
  <c r="AB17" i="58"/>
  <c r="Q13" i="58"/>
  <c r="T14" i="58" s="1"/>
  <c r="S14" i="58"/>
  <c r="K14" i="58"/>
  <c r="I13" i="58"/>
  <c r="L14" i="58" s="1"/>
  <c r="AB16" i="58"/>
  <c r="AA14" i="58"/>
  <c r="Y13" i="58"/>
  <c r="AB14" i="58" s="1"/>
  <c r="AA32" i="58"/>
  <c r="Y31" i="58"/>
  <c r="AB32" i="58" s="1"/>
  <c r="Q46" i="58"/>
  <c r="T47" i="58" s="1"/>
  <c r="S47" i="58"/>
  <c r="Q40" i="58"/>
  <c r="T41" i="58" s="1"/>
  <c r="S41" i="58"/>
  <c r="AB35" i="58"/>
  <c r="AB34" i="58"/>
  <c r="AB26" i="58"/>
  <c r="AA23" i="58"/>
  <c r="Y22" i="58"/>
  <c r="AB23" i="58" s="1"/>
  <c r="K23" i="58"/>
  <c r="I22" i="58"/>
  <c r="L23" i="58" s="1"/>
  <c r="K47" i="58"/>
  <c r="I46" i="58"/>
  <c r="L47" i="58" s="1"/>
  <c r="K41" i="58"/>
  <c r="I40" i="58"/>
  <c r="L41" i="58" s="1"/>
  <c r="K35" i="58"/>
  <c r="X36" i="58"/>
  <c r="AA36" i="58" s="1"/>
  <c r="K36" i="58"/>
  <c r="Z17" i="58"/>
  <c r="AA23" i="57"/>
  <c r="Y22" i="57"/>
  <c r="AB23" i="57" s="1"/>
  <c r="Q46" i="57"/>
  <c r="T47" i="57" s="1"/>
  <c r="S47" i="57"/>
  <c r="Q40" i="57"/>
  <c r="T41" i="57" s="1"/>
  <c r="S41" i="57"/>
  <c r="AB35" i="57"/>
  <c r="S32" i="57"/>
  <c r="Q31" i="57"/>
  <c r="T32" i="57" s="1"/>
  <c r="AB26" i="57"/>
  <c r="K14" i="57"/>
  <c r="I13" i="57"/>
  <c r="L14" i="57" s="1"/>
  <c r="Q13" i="57"/>
  <c r="T14" i="57" s="1"/>
  <c r="S14" i="57"/>
  <c r="K32" i="57"/>
  <c r="I31" i="57"/>
  <c r="L32" i="57" s="1"/>
  <c r="K23" i="57"/>
  <c r="I22" i="57"/>
  <c r="L23" i="57" s="1"/>
  <c r="AA32" i="57"/>
  <c r="Y31" i="57"/>
  <c r="AB32" i="57" s="1"/>
  <c r="K47" i="57"/>
  <c r="I46" i="57"/>
  <c r="L47" i="57" s="1"/>
  <c r="K41" i="57"/>
  <c r="I40" i="57"/>
  <c r="L41" i="57" s="1"/>
  <c r="AA14" i="57"/>
  <c r="Y13" i="57"/>
  <c r="AB14" i="57" s="1"/>
  <c r="I7" i="57"/>
  <c r="L8" i="57" s="1"/>
  <c r="K8" i="57"/>
  <c r="R14" i="56"/>
  <c r="P13" i="56"/>
  <c r="J32" i="56"/>
  <c r="H31" i="56"/>
  <c r="Z32" i="56"/>
  <c r="X31" i="56"/>
  <c r="J41" i="56"/>
  <c r="H40" i="56"/>
  <c r="J14" i="56"/>
  <c r="H13" i="56"/>
  <c r="Z14" i="56"/>
  <c r="X13" i="56"/>
  <c r="AA17" i="56"/>
  <c r="S23" i="56"/>
  <c r="Q22" i="56"/>
  <c r="T23" i="56" s="1"/>
  <c r="R32" i="56"/>
  <c r="P31" i="56"/>
  <c r="R41" i="56"/>
  <c r="P40" i="56"/>
  <c r="S47" i="56"/>
  <c r="Q46" i="56"/>
  <c r="T47" i="56" s="1"/>
  <c r="H7" i="56"/>
  <c r="K12" i="56"/>
  <c r="AA15" i="56"/>
  <c r="AB16" i="56"/>
  <c r="S17" i="56"/>
  <c r="AA18" i="56"/>
  <c r="AB19" i="56"/>
  <c r="AA20" i="56"/>
  <c r="AB21" i="56"/>
  <c r="R23" i="56"/>
  <c r="AB24" i="56"/>
  <c r="AB27" i="56"/>
  <c r="AA28" i="56"/>
  <c r="AB29" i="56"/>
  <c r="AA33" i="56"/>
  <c r="AB34" i="56"/>
  <c r="AA35" i="56"/>
  <c r="AA36" i="56"/>
  <c r="T44" i="56"/>
  <c r="R47" i="56"/>
  <c r="S50" i="56"/>
  <c r="R17" i="56"/>
  <c r="T17" i="56"/>
  <c r="H22" i="56"/>
  <c r="X22" i="56"/>
  <c r="H46" i="56"/>
  <c r="J14" i="55"/>
  <c r="H13" i="55"/>
  <c r="Z14" i="55"/>
  <c r="X13" i="55"/>
  <c r="Z17" i="55"/>
  <c r="R14" i="55"/>
  <c r="P13" i="55"/>
  <c r="S23" i="55"/>
  <c r="Q22" i="55"/>
  <c r="T23" i="55" s="1"/>
  <c r="K12" i="55"/>
  <c r="AA15" i="55"/>
  <c r="Z16" i="55"/>
  <c r="AB16" i="55"/>
  <c r="K17" i="55"/>
  <c r="S17" i="55"/>
  <c r="X17" i="55"/>
  <c r="AA17" i="55" s="1"/>
  <c r="AA18" i="55"/>
  <c r="AB19" i="55"/>
  <c r="AA20" i="55"/>
  <c r="AB21" i="55"/>
  <c r="R23" i="55"/>
  <c r="Z24" i="55"/>
  <c r="AB24" i="55"/>
  <c r="J32" i="55"/>
  <c r="H31" i="55"/>
  <c r="Z32" i="55"/>
  <c r="X31" i="55"/>
  <c r="J41" i="55"/>
  <c r="H40" i="55"/>
  <c r="J47" i="55"/>
  <c r="H46" i="55"/>
  <c r="S47" i="55"/>
  <c r="Q46" i="55"/>
  <c r="T47" i="55" s="1"/>
  <c r="I7" i="55"/>
  <c r="L8" i="55" s="1"/>
  <c r="Z15" i="55"/>
  <c r="AB15" i="55"/>
  <c r="H22" i="55"/>
  <c r="X22" i="55"/>
  <c r="W26" i="55"/>
  <c r="Z26" i="55" s="1"/>
  <c r="Y26" i="55"/>
  <c r="AB26" i="55" s="1"/>
  <c r="AA24" i="55"/>
  <c r="Z27" i="55"/>
  <c r="Z30" i="55"/>
  <c r="P31" i="55"/>
  <c r="R32" i="55"/>
  <c r="V36" i="55"/>
  <c r="Z34" i="55"/>
  <c r="R36" i="55"/>
  <c r="T36" i="55"/>
  <c r="P40" i="55"/>
  <c r="R41" i="55"/>
  <c r="K26" i="55"/>
  <c r="R26" i="55"/>
  <c r="H27" i="55"/>
  <c r="J27" i="55"/>
  <c r="L28" i="55"/>
  <c r="X28" i="55"/>
  <c r="AA28" i="55" s="1"/>
  <c r="I29" i="55"/>
  <c r="K29" i="55"/>
  <c r="J30" i="55"/>
  <c r="K33" i="55"/>
  <c r="W33" i="55"/>
  <c r="H34" i="55"/>
  <c r="H35" i="55" s="1"/>
  <c r="J34" i="55"/>
  <c r="L34" i="55"/>
  <c r="G35" i="55"/>
  <c r="I35" i="55"/>
  <c r="R35" i="55"/>
  <c r="T35" i="55"/>
  <c r="Y35" i="55"/>
  <c r="R47" i="55"/>
  <c r="K50" i="55"/>
  <c r="T50" i="55"/>
  <c r="K30" i="55"/>
  <c r="L33" i="55"/>
  <c r="V33" i="55"/>
  <c r="V35" i="55" s="1"/>
  <c r="X33" i="55"/>
  <c r="AB33" i="55" s="1"/>
  <c r="S35" i="55"/>
  <c r="I7" i="54"/>
  <c r="L8" i="54" s="1"/>
  <c r="K12" i="54"/>
  <c r="H13" i="54"/>
  <c r="Z14" i="54"/>
  <c r="X13" i="54"/>
  <c r="Z17" i="54"/>
  <c r="AB17" i="54"/>
  <c r="S23" i="54"/>
  <c r="Q22" i="54"/>
  <c r="T23" i="54" s="1"/>
  <c r="Z26" i="54"/>
  <c r="J32" i="54"/>
  <c r="H31" i="54"/>
  <c r="Z32" i="54"/>
  <c r="X31" i="54"/>
  <c r="Z35" i="54"/>
  <c r="AB35" i="54"/>
  <c r="R14" i="54"/>
  <c r="P13" i="54"/>
  <c r="P31" i="54"/>
  <c r="R32" i="54"/>
  <c r="AA15" i="54"/>
  <c r="AB16" i="54"/>
  <c r="K17" i="54"/>
  <c r="AA18" i="54"/>
  <c r="AB19" i="54"/>
  <c r="AA20" i="54"/>
  <c r="AB21" i="54"/>
  <c r="R23" i="54"/>
  <c r="Z24" i="54"/>
  <c r="AB24" i="54"/>
  <c r="J26" i="54"/>
  <c r="L26" i="54"/>
  <c r="X26" i="54"/>
  <c r="AA26" i="54" s="1"/>
  <c r="AA29" i="54"/>
  <c r="Z30" i="54"/>
  <c r="Z33" i="54"/>
  <c r="AB33" i="54"/>
  <c r="AA34" i="54"/>
  <c r="F35" i="54"/>
  <c r="H35" i="54"/>
  <c r="AA36" i="54"/>
  <c r="H38" i="54"/>
  <c r="H40" i="54"/>
  <c r="P40" i="54"/>
  <c r="J44" i="54"/>
  <c r="S44" i="54"/>
  <c r="H46" i="54"/>
  <c r="P46" i="54"/>
  <c r="J50" i="54"/>
  <c r="S50" i="54"/>
  <c r="Z15" i="54"/>
  <c r="AB15" i="54"/>
  <c r="H22" i="54"/>
  <c r="X22" i="54"/>
  <c r="AA33" i="54"/>
  <c r="G35" i="54"/>
  <c r="I35" i="54"/>
  <c r="L35" i="54" s="1"/>
  <c r="J14" i="52"/>
  <c r="H13" i="52"/>
  <c r="Z14" i="52"/>
  <c r="X13" i="52"/>
  <c r="Z17" i="52"/>
  <c r="J41" i="52"/>
  <c r="H40" i="52"/>
  <c r="J47" i="52"/>
  <c r="H46" i="52"/>
  <c r="J8" i="52"/>
  <c r="H7" i="52"/>
  <c r="R14" i="52"/>
  <c r="P13" i="52"/>
  <c r="S23" i="52"/>
  <c r="Q22" i="52"/>
  <c r="T23" i="52" s="1"/>
  <c r="S32" i="52"/>
  <c r="Q31" i="52"/>
  <c r="T32" i="52" s="1"/>
  <c r="R41" i="52"/>
  <c r="P40" i="52"/>
  <c r="R47" i="52"/>
  <c r="P46" i="52"/>
  <c r="AA15" i="52"/>
  <c r="Z16" i="52"/>
  <c r="AB16" i="52"/>
  <c r="K17" i="52"/>
  <c r="S17" i="52"/>
  <c r="X17" i="52"/>
  <c r="AA17" i="52" s="1"/>
  <c r="AA18" i="52"/>
  <c r="AB19" i="52"/>
  <c r="AA20" i="52"/>
  <c r="AB21" i="52"/>
  <c r="R23" i="52"/>
  <c r="Z24" i="52"/>
  <c r="AB24" i="52"/>
  <c r="AA25" i="52"/>
  <c r="L26" i="52"/>
  <c r="S26" i="52"/>
  <c r="X26" i="52"/>
  <c r="AA26" i="52" s="1"/>
  <c r="AA27" i="52"/>
  <c r="AB28" i="52"/>
  <c r="AA29" i="52"/>
  <c r="AB30" i="52"/>
  <c r="R32" i="52"/>
  <c r="Z33" i="52"/>
  <c r="AB33" i="52"/>
  <c r="AA34" i="52"/>
  <c r="L35" i="52"/>
  <c r="S35" i="52"/>
  <c r="X35" i="52"/>
  <c r="AA35" i="52" s="1"/>
  <c r="AA36" i="52"/>
  <c r="L44" i="52"/>
  <c r="S44" i="52"/>
  <c r="L50" i="52"/>
  <c r="S50" i="52"/>
  <c r="Z15" i="52"/>
  <c r="AB15" i="52"/>
  <c r="H22" i="52"/>
  <c r="X22" i="52"/>
  <c r="H31" i="52"/>
  <c r="X31" i="52"/>
  <c r="J14" i="51"/>
  <c r="H13" i="51"/>
  <c r="K12" i="51"/>
  <c r="P13" i="51"/>
  <c r="R14" i="51"/>
  <c r="Z35" i="51"/>
  <c r="AB35" i="51"/>
  <c r="P40" i="51"/>
  <c r="R41" i="51"/>
  <c r="P46" i="51"/>
  <c r="R47" i="51"/>
  <c r="H7" i="51"/>
  <c r="Z14" i="51"/>
  <c r="X13" i="51"/>
  <c r="Z17" i="51"/>
  <c r="AB17" i="51"/>
  <c r="AA26" i="51"/>
  <c r="J41" i="51"/>
  <c r="H40" i="51"/>
  <c r="J47" i="51"/>
  <c r="H46" i="51"/>
  <c r="Z15" i="51"/>
  <c r="AB15" i="51"/>
  <c r="H22" i="51"/>
  <c r="P22" i="51"/>
  <c r="X22" i="51"/>
  <c r="AA24" i="51"/>
  <c r="Z25" i="51"/>
  <c r="K26" i="51"/>
  <c r="R26" i="51"/>
  <c r="Z27" i="51"/>
  <c r="AA28" i="51"/>
  <c r="Z29" i="51"/>
  <c r="AA30" i="51"/>
  <c r="H31" i="51"/>
  <c r="P31" i="51"/>
  <c r="X31" i="51"/>
  <c r="AA33" i="51"/>
  <c r="Z34" i="51"/>
  <c r="K35" i="51"/>
  <c r="R35" i="51"/>
  <c r="Z36" i="51"/>
  <c r="R44" i="51"/>
  <c r="AA15" i="51"/>
  <c r="Z24" i="51"/>
  <c r="AB24" i="51"/>
  <c r="Z33" i="51"/>
  <c r="AB33" i="51"/>
  <c r="Z16" i="59" l="1"/>
  <c r="AA16" i="59"/>
  <c r="W17" i="59"/>
  <c r="AB36" i="58"/>
  <c r="K8" i="56"/>
  <c r="I7" i="56"/>
  <c r="L8" i="56" s="1"/>
  <c r="AA14" i="56"/>
  <c r="Y13" i="56"/>
  <c r="AB14" i="56" s="1"/>
  <c r="K14" i="56"/>
  <c r="I13" i="56"/>
  <c r="L14" i="56" s="1"/>
  <c r="K41" i="56"/>
  <c r="I40" i="56"/>
  <c r="L41" i="56" s="1"/>
  <c r="AA32" i="56"/>
  <c r="Y31" i="56"/>
  <c r="AB32" i="56" s="1"/>
  <c r="K32" i="56"/>
  <c r="I31" i="56"/>
  <c r="L32" i="56" s="1"/>
  <c r="Q13" i="56"/>
  <c r="T14" i="56" s="1"/>
  <c r="S14" i="56"/>
  <c r="AA23" i="56"/>
  <c r="Y22" i="56"/>
  <c r="AB23" i="56" s="1"/>
  <c r="K47" i="56"/>
  <c r="I46" i="56"/>
  <c r="L47" i="56" s="1"/>
  <c r="K23" i="56"/>
  <c r="I22" i="56"/>
  <c r="L23" i="56" s="1"/>
  <c r="Q40" i="56"/>
  <c r="T41" i="56" s="1"/>
  <c r="S41" i="56"/>
  <c r="Q31" i="56"/>
  <c r="T32" i="56" s="1"/>
  <c r="S32" i="56"/>
  <c r="H36" i="55"/>
  <c r="K35" i="55"/>
  <c r="G36" i="55"/>
  <c r="J35" i="55"/>
  <c r="Z33" i="55"/>
  <c r="W35" i="55"/>
  <c r="Z35" i="55" s="1"/>
  <c r="L29" i="55"/>
  <c r="Y29" i="55"/>
  <c r="AB29" i="55" s="1"/>
  <c r="K27" i="55"/>
  <c r="I27" i="55"/>
  <c r="X27" i="55"/>
  <c r="AA27" i="55" s="1"/>
  <c r="S41" i="55"/>
  <c r="Q40" i="55"/>
  <c r="T41" i="55" s="1"/>
  <c r="S32" i="55"/>
  <c r="Q31" i="55"/>
  <c r="T32" i="55" s="1"/>
  <c r="AA23" i="55"/>
  <c r="Y22" i="55"/>
  <c r="AB23" i="55" s="1"/>
  <c r="AA32" i="55"/>
  <c r="Y31" i="55"/>
  <c r="AB32" i="55" s="1"/>
  <c r="K32" i="55"/>
  <c r="I31" i="55"/>
  <c r="L32" i="55" s="1"/>
  <c r="AB28" i="55"/>
  <c r="Q13" i="55"/>
  <c r="T14" i="55" s="1"/>
  <c r="S14" i="55"/>
  <c r="AB17" i="55"/>
  <c r="AA14" i="55"/>
  <c r="Y13" i="55"/>
  <c r="AB14" i="55" s="1"/>
  <c r="K14" i="55"/>
  <c r="I13" i="55"/>
  <c r="L14" i="55" s="1"/>
  <c r="X35" i="55"/>
  <c r="AA35" i="55" s="1"/>
  <c r="AA33" i="55"/>
  <c r="I36" i="55"/>
  <c r="L35" i="55"/>
  <c r="K34" i="55"/>
  <c r="X34" i="55"/>
  <c r="K23" i="55"/>
  <c r="I22" i="55"/>
  <c r="L23" i="55" s="1"/>
  <c r="K47" i="55"/>
  <c r="I46" i="55"/>
  <c r="L47" i="55" s="1"/>
  <c r="K41" i="55"/>
  <c r="I40" i="55"/>
  <c r="L41" i="55" s="1"/>
  <c r="AA26" i="55"/>
  <c r="K47" i="54"/>
  <c r="I46" i="54"/>
  <c r="L47" i="54" s="1"/>
  <c r="S32" i="54"/>
  <c r="Q31" i="54"/>
  <c r="T32" i="54" s="1"/>
  <c r="K23" i="54"/>
  <c r="I22" i="54"/>
  <c r="L23" i="54" s="1"/>
  <c r="K41" i="54"/>
  <c r="I40" i="54"/>
  <c r="L41" i="54" s="1"/>
  <c r="J35" i="54"/>
  <c r="AA23" i="54"/>
  <c r="Y22" i="54"/>
  <c r="AB23" i="54" s="1"/>
  <c r="Q46" i="54"/>
  <c r="T47" i="54" s="1"/>
  <c r="S47" i="54"/>
  <c r="Q40" i="54"/>
  <c r="T41" i="54" s="1"/>
  <c r="S41" i="54"/>
  <c r="K35" i="54"/>
  <c r="Q13" i="54"/>
  <c r="T14" i="54" s="1"/>
  <c r="S14" i="54"/>
  <c r="AA32" i="54"/>
  <c r="Y31" i="54"/>
  <c r="AB32" i="54" s="1"/>
  <c r="K32" i="54"/>
  <c r="I31" i="54"/>
  <c r="L32" i="54" s="1"/>
  <c r="AB26" i="54"/>
  <c r="AA14" i="54"/>
  <c r="Y13" i="54"/>
  <c r="AB14" i="54" s="1"/>
  <c r="K14" i="54"/>
  <c r="I13" i="54"/>
  <c r="L14" i="54" s="1"/>
  <c r="AA32" i="52"/>
  <c r="Y31" i="52"/>
  <c r="AB32" i="52" s="1"/>
  <c r="AA23" i="52"/>
  <c r="Y22" i="52"/>
  <c r="AB23" i="52" s="1"/>
  <c r="Q46" i="52"/>
  <c r="T47" i="52" s="1"/>
  <c r="S47" i="52"/>
  <c r="Q40" i="52"/>
  <c r="T41" i="52" s="1"/>
  <c r="S41" i="52"/>
  <c r="AB35" i="52"/>
  <c r="Q13" i="52"/>
  <c r="T14" i="52" s="1"/>
  <c r="S14" i="52"/>
  <c r="K8" i="52"/>
  <c r="I7" i="52"/>
  <c r="L8" i="52" s="1"/>
  <c r="K47" i="52"/>
  <c r="I46" i="52"/>
  <c r="L47" i="52" s="1"/>
  <c r="K41" i="52"/>
  <c r="I40" i="52"/>
  <c r="L41" i="52" s="1"/>
  <c r="AB17" i="52"/>
  <c r="AA14" i="52"/>
  <c r="Y13" i="52"/>
  <c r="AB14" i="52" s="1"/>
  <c r="K14" i="52"/>
  <c r="I13" i="52"/>
  <c r="L14" i="52" s="1"/>
  <c r="K32" i="52"/>
  <c r="I31" i="52"/>
  <c r="L32" i="52" s="1"/>
  <c r="K23" i="52"/>
  <c r="I22" i="52"/>
  <c r="L23" i="52" s="1"/>
  <c r="AB26" i="52"/>
  <c r="Q31" i="51"/>
  <c r="T32" i="51" s="1"/>
  <c r="S32" i="51"/>
  <c r="AA23" i="51"/>
  <c r="Y22" i="51"/>
  <c r="AB23" i="51" s="1"/>
  <c r="K23" i="51"/>
  <c r="I22" i="51"/>
  <c r="L23" i="51" s="1"/>
  <c r="AA14" i="51"/>
  <c r="Y13" i="51"/>
  <c r="AB14" i="51" s="1"/>
  <c r="K8" i="51"/>
  <c r="I7" i="51"/>
  <c r="L8" i="51" s="1"/>
  <c r="S47" i="51"/>
  <c r="Q46" i="51"/>
  <c r="T47" i="51" s="1"/>
  <c r="S41" i="51"/>
  <c r="Q40" i="51"/>
  <c r="T41" i="51" s="1"/>
  <c r="S14" i="51"/>
  <c r="Q13" i="51"/>
  <c r="T14" i="51" s="1"/>
  <c r="K14" i="51"/>
  <c r="I13" i="51"/>
  <c r="L14" i="51" s="1"/>
  <c r="AA32" i="51"/>
  <c r="Y31" i="51"/>
  <c r="AB32" i="51" s="1"/>
  <c r="K32" i="51"/>
  <c r="I31" i="51"/>
  <c r="L32" i="51" s="1"/>
  <c r="Q22" i="51"/>
  <c r="T23" i="51" s="1"/>
  <c r="S23" i="51"/>
  <c r="K47" i="51"/>
  <c r="I46" i="51"/>
  <c r="L47" i="51" s="1"/>
  <c r="K41" i="51"/>
  <c r="I40" i="51"/>
  <c r="L41" i="51" s="1"/>
  <c r="Z17" i="59" l="1"/>
  <c r="AA17" i="59"/>
  <c r="Y36" i="55"/>
  <c r="L36" i="55"/>
  <c r="Y27" i="55"/>
  <c r="AB27" i="55" s="1"/>
  <c r="L27" i="55"/>
  <c r="AA34" i="55"/>
  <c r="AB34" i="55"/>
  <c r="W36" i="55"/>
  <c r="Z36" i="55" s="1"/>
  <c r="J36" i="55"/>
  <c r="AB35" i="55"/>
  <c r="K36" i="55"/>
  <c r="X36" i="55"/>
  <c r="AA36" i="55" s="1"/>
  <c r="AB36" i="55" l="1"/>
</calcChain>
</file>

<file path=xl/sharedStrings.xml><?xml version="1.0" encoding="utf-8"?>
<sst xmlns="http://schemas.openxmlformats.org/spreadsheetml/2006/main" count="1377" uniqueCount="128">
  <si>
    <t>CONFIDENTIAL</t>
  </si>
  <si>
    <t>1st half of year</t>
  </si>
  <si>
    <t>2nd half of year</t>
  </si>
  <si>
    <t>Year total</t>
  </si>
  <si>
    <t xml:space="preserve">+ Imports of beef  </t>
  </si>
  <si>
    <t xml:space="preserve">- Exports of beef  </t>
  </si>
  <si>
    <t>BEEF</t>
  </si>
  <si>
    <t>TOTAL</t>
  </si>
  <si>
    <t>GROSS INDIGENOUS PRODUCTION</t>
  </si>
  <si>
    <t>+ Imports of live bov animals</t>
  </si>
  <si>
    <t>- Exports of live bov animals</t>
  </si>
  <si>
    <t>% Variation</t>
  </si>
  <si>
    <t>Per capita consumption ( kg/head )</t>
  </si>
  <si>
    <t>MARKET PRICES</t>
  </si>
  <si>
    <t>NET PRODUCTION</t>
  </si>
  <si>
    <t>VEAL &amp; YOUNG CATTLE   ( V + Z )</t>
  </si>
  <si>
    <t>(Please only fill "light green" colored cells)</t>
  </si>
  <si>
    <t>CONSUMPTION</t>
  </si>
  <si>
    <t>TOTAL BOVINE</t>
  </si>
  <si>
    <t>COWS   -   D 03</t>
  </si>
  <si>
    <t>VEAL   -   ( V : calves &lt; 8 mth )</t>
  </si>
  <si>
    <t>ADULT MALE CATTLE - A/C R3   (YBov+Steer)</t>
  </si>
  <si>
    <t>YOUNG CATTLE  -  ( Z = young cattle 8-12 mth )</t>
  </si>
  <si>
    <t>LIVESTOCK</t>
  </si>
  <si>
    <r>
      <t xml:space="preserve">( </t>
    </r>
    <r>
      <rPr>
        <b/>
        <u/>
        <sz val="12"/>
        <rFont val="Times New Roman"/>
        <family val="1"/>
      </rPr>
      <t>1000</t>
    </r>
    <r>
      <rPr>
        <b/>
        <sz val="12"/>
        <rFont val="Times New Roman"/>
        <family val="1"/>
      </rPr>
      <t xml:space="preserve"> heads )</t>
    </r>
  </si>
  <si>
    <r>
      <t xml:space="preserve">( </t>
    </r>
    <r>
      <rPr>
        <b/>
        <u/>
        <sz val="12"/>
        <rFont val="Times New Roman"/>
        <family val="1"/>
      </rPr>
      <t>1000</t>
    </r>
    <r>
      <rPr>
        <b/>
        <sz val="12"/>
        <rFont val="Times New Roman"/>
        <family val="1"/>
      </rPr>
      <t xml:space="preserve"> tonnes Carcase weight )</t>
    </r>
  </si>
  <si>
    <r>
      <t xml:space="preserve"> (slaughterings in </t>
    </r>
    <r>
      <rPr>
        <b/>
        <u/>
        <sz val="12"/>
        <rFont val="Times New Roman"/>
        <family val="1"/>
      </rPr>
      <t>1000</t>
    </r>
    <r>
      <rPr>
        <b/>
        <sz val="12"/>
        <rFont val="Times New Roman"/>
        <family val="1"/>
      </rPr>
      <t xml:space="preserve"> tonnes carcase weight)</t>
    </r>
  </si>
  <si>
    <r>
      <t xml:space="preserve">(   / </t>
    </r>
    <r>
      <rPr>
        <b/>
        <u/>
        <sz val="12"/>
        <rFont val="Times New Roman"/>
        <family val="1"/>
      </rPr>
      <t>100</t>
    </r>
    <r>
      <rPr>
        <b/>
        <sz val="12"/>
        <rFont val="Times New Roman"/>
        <family val="1"/>
      </rPr>
      <t xml:space="preserve"> kg - carcase weight   )</t>
    </r>
  </si>
  <si>
    <t>&gt;&gt;&gt;&gt;&gt;</t>
  </si>
  <si>
    <t>&lt;&lt;&lt;&lt;&lt;</t>
  </si>
  <si>
    <t>Expert's Name</t>
  </si>
  <si>
    <t>MEMBER STATE</t>
  </si>
  <si>
    <t>B E E F   &amp;   V E A L   F O R E C A S T   Q U E S T I O N N A I R E</t>
  </si>
  <si>
    <t>Dairy Cows</t>
  </si>
  <si>
    <t>Non Dairy Cows</t>
  </si>
  <si>
    <t>Average Price :   1st half of year</t>
  </si>
  <si>
    <t>Average Price :   2nd half of year</t>
  </si>
  <si>
    <t>Average Price :   YEAR</t>
  </si>
  <si>
    <t>Total   COWS</t>
  </si>
  <si>
    <t>( intra EU )</t>
  </si>
  <si>
    <t>( extra EU )</t>
  </si>
  <si>
    <r>
      <t xml:space="preserve">( </t>
    </r>
    <r>
      <rPr>
        <b/>
        <sz val="12"/>
        <rFont val="Times New Roman"/>
        <family val="1"/>
      </rPr>
      <t>Euro</t>
    </r>
    <r>
      <rPr>
        <sz val="12"/>
        <rFont val="Times New Roman"/>
        <family val="1"/>
      </rPr>
      <t xml:space="preserve"> for </t>
    </r>
    <r>
      <rPr>
        <u/>
        <sz val="12"/>
        <rFont val="Times New Roman"/>
        <family val="1"/>
      </rPr>
      <t>Euro-Zone MS</t>
    </r>
    <r>
      <rPr>
        <sz val="12"/>
        <rFont val="Times New Roman"/>
        <family val="1"/>
      </rPr>
      <t xml:space="preserve">  /  </t>
    </r>
    <r>
      <rPr>
        <b/>
        <sz val="12"/>
        <rFont val="Times New Roman"/>
        <family val="1"/>
      </rPr>
      <t>Nat.Curr</t>
    </r>
    <r>
      <rPr>
        <sz val="12"/>
        <rFont val="Times New Roman"/>
        <family val="1"/>
      </rPr>
      <t xml:space="preserve"> for </t>
    </r>
    <r>
      <rPr>
        <u/>
        <sz val="12"/>
        <rFont val="Times New Roman"/>
        <family val="1"/>
      </rPr>
      <t>Non-Euro-Zone MS</t>
    </r>
    <r>
      <rPr>
        <sz val="12"/>
        <rFont val="Times New Roman"/>
        <family val="1"/>
      </rPr>
      <t xml:space="preserve"> )</t>
    </r>
  </si>
  <si>
    <t>Austria</t>
  </si>
  <si>
    <t>Helmut Eder</t>
  </si>
  <si>
    <t>13.03.2017</t>
  </si>
  <si>
    <t>Bulgaria</t>
  </si>
  <si>
    <t>George Dimov</t>
  </si>
  <si>
    <t>Croatia</t>
  </si>
  <si>
    <t>CONFIDENTIEL</t>
  </si>
  <si>
    <t>Q U E S T I O N N A I R E   "P R E V I S I O N   V I A N D E   B O V I N E"</t>
  </si>
  <si>
    <t>ETAT MEMBRE</t>
  </si>
  <si>
    <t>France</t>
  </si>
  <si>
    <t>( Ne remplir que les cases "vert clair" )</t>
  </si>
  <si>
    <t>Nom Expert</t>
  </si>
  <si>
    <t>Caroline MONNIOT</t>
  </si>
  <si>
    <t>GROS BOVINS</t>
  </si>
  <si>
    <t>VEAUX &amp; JEUNES BOVINS   ( V + Z )</t>
  </si>
  <si>
    <t>CHEPTEL</t>
  </si>
  <si>
    <r>
      <t xml:space="preserve">( </t>
    </r>
    <r>
      <rPr>
        <b/>
        <u/>
        <sz val="12"/>
        <rFont val="Times New Roman"/>
        <family val="1"/>
      </rPr>
      <t>1000</t>
    </r>
    <r>
      <rPr>
        <b/>
        <sz val="12"/>
        <rFont val="Times New Roman"/>
        <family val="1"/>
      </rPr>
      <t xml:space="preserve"> têtes )</t>
    </r>
  </si>
  <si>
    <t>BOVIN TOTAL</t>
  </si>
  <si>
    <t>Vaches laitières</t>
  </si>
  <si>
    <t xml:space="preserve">Vaches Non Laitières    </t>
  </si>
  <si>
    <t>VACHES   Total</t>
  </si>
  <si>
    <t>PRODUCTION INDIGENE BRUTE</t>
  </si>
  <si>
    <r>
      <t xml:space="preserve">( </t>
    </r>
    <r>
      <rPr>
        <b/>
        <u/>
        <sz val="12"/>
        <rFont val="Times New Roman"/>
        <family val="1"/>
      </rPr>
      <t>1000</t>
    </r>
    <r>
      <rPr>
        <b/>
        <sz val="12"/>
        <rFont val="Times New Roman"/>
        <family val="1"/>
      </rPr>
      <t xml:space="preserve"> tonnes poids carcasse )</t>
    </r>
  </si>
  <si>
    <t>1er semestre</t>
  </si>
  <si>
    <t>2nd semestre</t>
  </si>
  <si>
    <t>Total Année</t>
  </si>
  <si>
    <t>+ Imports bovins vivants</t>
  </si>
  <si>
    <t>- Exports bovins vivants</t>
  </si>
  <si>
    <t>PRODUCTION NETTE</t>
  </si>
  <si>
    <r>
      <t xml:space="preserve"> (abattages en </t>
    </r>
    <r>
      <rPr>
        <b/>
        <u/>
        <sz val="12"/>
        <rFont val="Times New Roman"/>
        <family val="1"/>
      </rPr>
      <t>1000</t>
    </r>
    <r>
      <rPr>
        <b/>
        <sz val="12"/>
        <rFont val="Times New Roman"/>
        <family val="1"/>
      </rPr>
      <t xml:space="preserve"> tonnes poids carcasse)</t>
    </r>
  </si>
  <si>
    <t>+ Imports viande bovine</t>
  </si>
  <si>
    <t>- Exports viande bovine</t>
  </si>
  <si>
    <t>CONSOMMATION</t>
  </si>
  <si>
    <t>Consommation par habitant   ( kg/hab )</t>
  </si>
  <si>
    <t>PRIX DE MARCHES</t>
  </si>
  <si>
    <r>
      <t xml:space="preserve">(   / </t>
    </r>
    <r>
      <rPr>
        <b/>
        <u/>
        <sz val="12"/>
        <rFont val="Times New Roman"/>
        <family val="1"/>
      </rPr>
      <t>100</t>
    </r>
    <r>
      <rPr>
        <b/>
        <sz val="12"/>
        <rFont val="Times New Roman"/>
        <family val="1"/>
      </rPr>
      <t xml:space="preserve"> kg - poids carcasse   )</t>
    </r>
  </si>
  <si>
    <r>
      <t xml:space="preserve">( </t>
    </r>
    <r>
      <rPr>
        <b/>
        <sz val="12"/>
        <rFont val="Times New Roman"/>
        <family val="1"/>
      </rPr>
      <t>Euro</t>
    </r>
    <r>
      <rPr>
        <sz val="12"/>
        <rFont val="Times New Roman"/>
        <family val="1"/>
      </rPr>
      <t xml:space="preserve"> pr EM </t>
    </r>
    <r>
      <rPr>
        <u/>
        <sz val="12"/>
        <rFont val="Times New Roman"/>
        <family val="1"/>
      </rPr>
      <t>ds Zone-Euro</t>
    </r>
    <r>
      <rPr>
        <sz val="12"/>
        <rFont val="Times New Roman"/>
        <family val="1"/>
      </rPr>
      <t xml:space="preserve"> / </t>
    </r>
    <r>
      <rPr>
        <b/>
        <sz val="12"/>
        <rFont val="Times New Roman"/>
        <family val="1"/>
      </rPr>
      <t xml:space="preserve">Monn.Nat pr </t>
    </r>
    <r>
      <rPr>
        <u/>
        <sz val="12"/>
        <rFont val="Times New Roman"/>
        <family val="1"/>
      </rPr>
      <t>EM hors Zone-Euro</t>
    </r>
    <r>
      <rPr>
        <sz val="12"/>
        <rFont val="Times New Roman"/>
        <family val="1"/>
      </rPr>
      <t xml:space="preserve"> )</t>
    </r>
  </si>
  <si>
    <t>GROS BOV MALES - A/C R3   (JeuneBov+Boeuf)</t>
  </si>
  <si>
    <t>VEAUX   -   ( V : veaux  &lt; 8 mois )</t>
  </si>
  <si>
    <t>Prix Moyen :   1er semestre</t>
  </si>
  <si>
    <t>Prix Moyen :   2nd semestre</t>
  </si>
  <si>
    <t>Prix Moyen :   ANNEE</t>
  </si>
  <si>
    <t>VACHES   -   D O3</t>
  </si>
  <si>
    <t>JEUNES BOVINS  -  ( Z = jeune bovin 8-12 mois )</t>
  </si>
  <si>
    <t>Population</t>
  </si>
  <si>
    <t>Sweden</t>
  </si>
  <si>
    <t>Matjaž Podmiljšak</t>
  </si>
  <si>
    <t>16.10.2017</t>
  </si>
  <si>
    <t>Czech Republic</t>
  </si>
  <si>
    <t>Tajana Radić</t>
  </si>
  <si>
    <t>Maria Dirke</t>
  </si>
  <si>
    <t>Slovenia</t>
  </si>
  <si>
    <t>Denmark</t>
  </si>
  <si>
    <t xml:space="preserve">Christie Nielsen </t>
  </si>
  <si>
    <t>Portugal</t>
  </si>
  <si>
    <t>Domingos Godinho</t>
  </si>
  <si>
    <t>pop</t>
  </si>
  <si>
    <t>10 341 330</t>
  </si>
  <si>
    <t>SPAIN</t>
  </si>
  <si>
    <t>MORO, MATILDE</t>
  </si>
  <si>
    <t>Hungary</t>
  </si>
  <si>
    <t>Gyorgy ENDRODI</t>
  </si>
  <si>
    <t>id</t>
  </si>
  <si>
    <t>Ireland</t>
  </si>
  <si>
    <t>Eoin Kelly</t>
  </si>
  <si>
    <t>Finland</t>
  </si>
  <si>
    <t>Jukka Markkanen</t>
  </si>
  <si>
    <t>Germany</t>
  </si>
  <si>
    <t>Matthias Kohlmüller</t>
  </si>
  <si>
    <t>ITALIA</t>
  </si>
  <si>
    <t>TOMEI</t>
  </si>
  <si>
    <r>
      <t xml:space="preserve">( </t>
    </r>
    <r>
      <rPr>
        <u/>
        <sz val="12"/>
        <color indexed="8"/>
        <rFont val="Times New Roman"/>
        <family val="1"/>
      </rPr>
      <t>1000</t>
    </r>
    <r>
      <rPr>
        <sz val="12"/>
        <color indexed="8"/>
        <rFont val="Times New Roman"/>
        <family val="1"/>
      </rPr>
      <t xml:space="preserve"> têtes )</t>
    </r>
  </si>
  <si>
    <t>2016/15</t>
  </si>
  <si>
    <t>2017/16</t>
  </si>
  <si>
    <t>2018/17</t>
  </si>
  <si>
    <r>
      <t xml:space="preserve">( </t>
    </r>
    <r>
      <rPr>
        <u/>
        <sz val="12"/>
        <rFont val="Times New Roman"/>
        <family val="1"/>
      </rPr>
      <t>1000</t>
    </r>
    <r>
      <rPr>
        <sz val="12"/>
        <rFont val="Times New Roman"/>
        <family val="1"/>
      </rPr>
      <t xml:space="preserve"> tonnes poids carcasse )</t>
    </r>
  </si>
  <si>
    <r>
      <t xml:space="preserve"> (abattages en </t>
    </r>
    <r>
      <rPr>
        <u/>
        <sz val="12"/>
        <rFont val="Times New Roman"/>
        <family val="1"/>
      </rPr>
      <t>1000</t>
    </r>
    <r>
      <rPr>
        <sz val="12"/>
        <rFont val="Times New Roman"/>
        <family val="1"/>
      </rPr>
      <t xml:space="preserve"> tonnes poids carcasse)</t>
    </r>
  </si>
  <si>
    <r>
      <t xml:space="preserve">(   / </t>
    </r>
    <r>
      <rPr>
        <u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kg - poids carcasse   )</t>
    </r>
  </si>
  <si>
    <r>
      <t xml:space="preserve">( Euro pr EM </t>
    </r>
    <r>
      <rPr>
        <u/>
        <sz val="12"/>
        <rFont val="Times New Roman"/>
        <family val="1"/>
      </rPr>
      <t>ds Zone-Euro</t>
    </r>
    <r>
      <rPr>
        <sz val="12"/>
        <rFont val="Times New Roman"/>
        <family val="1"/>
      </rPr>
      <t xml:space="preserve"> / Monn.Nat pr </t>
    </r>
    <r>
      <rPr>
        <u/>
        <sz val="12"/>
        <rFont val="Times New Roman"/>
        <family val="1"/>
      </rPr>
      <t>EM hors Zone-Euro</t>
    </r>
    <r>
      <rPr>
        <sz val="12"/>
        <rFont val="Times New Roman"/>
        <family val="1"/>
      </rPr>
      <t xml:space="preserve"> )</t>
    </r>
  </si>
  <si>
    <t>BELGIUM</t>
  </si>
  <si>
    <t>10.09.2017</t>
  </si>
  <si>
    <t>Bouquiaux / Depiéreux</t>
  </si>
  <si>
    <t>UNITED KINGDOM</t>
  </si>
  <si>
    <t>DUNCAN WYATT</t>
  </si>
  <si>
    <t>Poland</t>
  </si>
  <si>
    <t>Jerzy Wierzbicki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</si>
</sst>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[$€]_-;\-* #,##0.00\ [$€]_-;_-* &quot;-&quot;??\ [$€]_-;_-@_-"/>
    <numFmt numFmtId="165" formatCode="\+0.0%;\-0.0%;&quot;id&quot;"/>
    <numFmt numFmtId="166" formatCode="0.0"/>
    <numFmt numFmtId="167" formatCode="_-* #,##0.00\ _F_B_-;\-* #,##0.00\ _F_B_-;_-* &quot;-&quot;??\ _F_B_-;_-@_-"/>
    <numFmt numFmtId="168" formatCode="_-* #,##0.0\ [$€]_-;\-* #,##0.0\ [$€]_-;_-* &quot;-&quot;??\ [$€]_-;_-@_-"/>
    <numFmt numFmtId="169" formatCode="_-* #,##0\ _€_-;\-* #,##0\ _€_-;_-* &quot;-&quot;\ _€_-;_-@_-"/>
    <numFmt numFmtId="170" formatCode="0.000"/>
    <numFmt numFmtId="171" formatCode="#,##0.0"/>
  </numFmts>
  <fonts count="34" x14ac:knownFonts="1">
    <font>
      <sz val="12"/>
      <name val="Times New Roman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b/>
      <sz val="18"/>
      <color indexed="9"/>
      <name val="Times New Roman"/>
      <family val="1"/>
    </font>
    <font>
      <u/>
      <sz val="12"/>
      <name val="Times New Roman"/>
      <family val="1"/>
    </font>
    <font>
      <sz val="12"/>
      <color indexed="8"/>
      <name val="Times New Roman"/>
      <family val="1"/>
    </font>
    <font>
      <b/>
      <sz val="18"/>
      <name val="Times New Roman"/>
      <family val="1"/>
    </font>
    <font>
      <b/>
      <u/>
      <sz val="12"/>
      <name val="Times New Roman"/>
      <family val="1"/>
    </font>
    <font>
      <b/>
      <sz val="20"/>
      <name val="Times New Roman"/>
      <family val="1"/>
    </font>
    <font>
      <b/>
      <sz val="22"/>
      <name val="Times New Roman"/>
      <family val="1"/>
    </font>
    <font>
      <b/>
      <sz val="24"/>
      <name val="Times New Roman"/>
      <family val="1"/>
    </font>
    <font>
      <sz val="20"/>
      <name val="Times New Roman"/>
      <family val="1"/>
    </font>
    <font>
      <sz val="22"/>
      <name val="Times New Roman"/>
      <family val="1"/>
    </font>
    <font>
      <b/>
      <sz val="22"/>
      <color indexed="9"/>
      <name val="Times New Roman"/>
      <family val="1"/>
    </font>
    <font>
      <b/>
      <sz val="16"/>
      <color theme="0"/>
      <name val="Times New Roman"/>
      <family val="1"/>
    </font>
    <font>
      <b/>
      <sz val="30"/>
      <color theme="0"/>
      <name val="Times New Roman"/>
      <family val="1"/>
    </font>
    <font>
      <sz val="10"/>
      <name val="Arial"/>
      <family val="2"/>
    </font>
    <font>
      <sz val="12"/>
      <color indexed="8"/>
      <name val="Verdana"/>
      <family val="2"/>
    </font>
    <font>
      <b/>
      <sz val="22"/>
      <color theme="0"/>
      <name val="Times New Roman"/>
      <family val="1"/>
    </font>
    <font>
      <sz val="10"/>
      <color indexed="8"/>
      <name val="Times New Roman"/>
      <family val="1"/>
    </font>
    <font>
      <i/>
      <sz val="12"/>
      <name val="Times New Roman"/>
      <family val="1"/>
    </font>
    <font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6"/>
      <name val="Times New Roman"/>
      <family val="1"/>
    </font>
    <font>
      <sz val="10"/>
      <name val="Arial CE"/>
      <charset val="238"/>
    </font>
    <font>
      <b/>
      <sz val="14"/>
      <name val="Times New Roman"/>
      <family val="1"/>
      <charset val="238"/>
    </font>
    <font>
      <u/>
      <sz val="12"/>
      <color indexed="8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3" fillId="0" borderId="0"/>
    <xf numFmtId="0" fontId="24" fillId="0" borderId="0" applyNumberFormat="0" applyFill="0" applyBorder="0" applyProtection="0">
      <alignment vertical="top" wrapText="1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31" fillId="0" borderId="0"/>
  </cellStyleXfs>
  <cellXfs count="430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quotePrefix="1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164" fontId="2" fillId="0" borderId="0" xfId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3" fillId="2" borderId="0" xfId="0" quotePrefix="1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165" fontId="8" fillId="0" borderId="0" xfId="2" applyNumberFormat="1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vertical="center"/>
    </xf>
    <xf numFmtId="0" fontId="2" fillId="6" borderId="0" xfId="0" applyFont="1" applyFill="1" applyBorder="1" applyAlignment="1">
      <alignment vertical="center"/>
    </xf>
    <xf numFmtId="0" fontId="2" fillId="6" borderId="0" xfId="0" applyFont="1" applyFill="1" applyBorder="1" applyAlignment="1">
      <alignment horizontal="right" vertical="center"/>
    </xf>
    <xf numFmtId="0" fontId="9" fillId="6" borderId="0" xfId="0" applyFont="1" applyFill="1" applyBorder="1" applyAlignment="1">
      <alignment vertical="center"/>
    </xf>
    <xf numFmtId="0" fontId="2" fillId="6" borderId="0" xfId="0" applyFont="1" applyFill="1" applyAlignment="1">
      <alignment vertical="center"/>
    </xf>
    <xf numFmtId="0" fontId="2" fillId="6" borderId="0" xfId="0" quotePrefix="1" applyFont="1" applyFill="1" applyBorder="1" applyAlignment="1">
      <alignment horizontal="center" vertical="center"/>
    </xf>
    <xf numFmtId="0" fontId="4" fillId="6" borderId="0" xfId="0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4" fillId="0" borderId="0" xfId="0" quotePrefix="1" applyFont="1" applyBorder="1" applyAlignment="1">
      <alignment horizontal="left" vertical="center"/>
    </xf>
    <xf numFmtId="0" fontId="5" fillId="0" borderId="0" xfId="0" applyFont="1" applyAlignment="1">
      <alignment vertical="top"/>
    </xf>
    <xf numFmtId="0" fontId="2" fillId="7" borderId="1" xfId="0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7" fillId="7" borderId="0" xfId="0" applyFont="1" applyFill="1" applyAlignment="1">
      <alignment vertical="center"/>
    </xf>
    <xf numFmtId="0" fontId="5" fillId="7" borderId="0" xfId="0" applyFont="1" applyFill="1" applyAlignment="1">
      <alignment vertical="top"/>
    </xf>
    <xf numFmtId="0" fontId="5" fillId="7" borderId="0" xfId="0" applyFont="1" applyFill="1" applyBorder="1" applyAlignment="1">
      <alignment vertical="top"/>
    </xf>
    <xf numFmtId="0" fontId="4" fillId="2" borderId="0" xfId="0" applyFont="1" applyFill="1" applyBorder="1" applyAlignment="1">
      <alignment vertical="center"/>
    </xf>
    <xf numFmtId="0" fontId="4" fillId="2" borderId="0" xfId="0" quotePrefix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righ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" fillId="6" borderId="0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4" fillId="6" borderId="0" xfId="0" applyFont="1" applyFill="1" applyBorder="1" applyAlignment="1">
      <alignment horizontal="right" vertical="center"/>
    </xf>
    <xf numFmtId="0" fontId="1" fillId="6" borderId="0" xfId="0" applyFont="1" applyFill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164" fontId="1" fillId="0" borderId="0" xfId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7" borderId="7" xfId="0" quotePrefix="1" applyFont="1" applyFill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165" fontId="2" fillId="0" borderId="8" xfId="2" applyNumberFormat="1" applyFont="1" applyBorder="1" applyAlignment="1">
      <alignment vertical="center"/>
    </xf>
    <xf numFmtId="165" fontId="2" fillId="0" borderId="9" xfId="2" applyNumberFormat="1" applyFont="1" applyBorder="1" applyAlignment="1">
      <alignment vertical="center"/>
    </xf>
    <xf numFmtId="165" fontId="2" fillId="0" borderId="10" xfId="2" applyNumberFormat="1" applyFont="1" applyBorder="1" applyAlignment="1">
      <alignment vertical="center"/>
    </xf>
    <xf numFmtId="165" fontId="2" fillId="0" borderId="11" xfId="2" applyNumberFormat="1" applyFont="1" applyBorder="1" applyAlignment="1">
      <alignment vertical="center"/>
    </xf>
    <xf numFmtId="165" fontId="2" fillId="0" borderId="12" xfId="2" applyNumberFormat="1" applyFont="1" applyBorder="1" applyAlignment="1">
      <alignment vertical="center"/>
    </xf>
    <xf numFmtId="165" fontId="2" fillId="0" borderId="13" xfId="2" applyNumberFormat="1" applyFont="1" applyBorder="1" applyAlignment="1">
      <alignment vertical="center"/>
    </xf>
    <xf numFmtId="165" fontId="2" fillId="0" borderId="14" xfId="2" applyNumberFormat="1" applyFont="1" applyBorder="1" applyAlignment="1">
      <alignment vertical="center"/>
    </xf>
    <xf numFmtId="165" fontId="2" fillId="0" borderId="15" xfId="2" applyNumberFormat="1" applyFont="1" applyBorder="1" applyAlignment="1">
      <alignment vertical="center"/>
    </xf>
    <xf numFmtId="165" fontId="2" fillId="0" borderId="16" xfId="2" applyNumberFormat="1" applyFont="1" applyBorder="1" applyAlignment="1">
      <alignment vertical="center"/>
    </xf>
    <xf numFmtId="165" fontId="2" fillId="0" borderId="17" xfId="2" applyNumberFormat="1" applyFont="1" applyBorder="1" applyAlignment="1">
      <alignment vertical="center"/>
    </xf>
    <xf numFmtId="165" fontId="2" fillId="0" borderId="18" xfId="2" applyNumberFormat="1" applyFont="1" applyBorder="1" applyAlignment="1">
      <alignment vertical="center"/>
    </xf>
    <xf numFmtId="165" fontId="2" fillId="0" borderId="19" xfId="2" applyNumberFormat="1" applyFont="1" applyBorder="1" applyAlignment="1">
      <alignment vertical="center"/>
    </xf>
    <xf numFmtId="165" fontId="2" fillId="0" borderId="20" xfId="2" applyNumberFormat="1" applyFont="1" applyBorder="1" applyAlignment="1">
      <alignment vertical="center"/>
    </xf>
    <xf numFmtId="165" fontId="2" fillId="0" borderId="21" xfId="2" applyNumberFormat="1" applyFont="1" applyBorder="1" applyAlignment="1">
      <alignment vertical="center"/>
    </xf>
    <xf numFmtId="165" fontId="2" fillId="0" borderId="22" xfId="2" applyNumberFormat="1" applyFont="1" applyBorder="1" applyAlignment="1">
      <alignment vertical="center"/>
    </xf>
    <xf numFmtId="166" fontId="5" fillId="3" borderId="8" xfId="0" applyNumberFormat="1" applyFont="1" applyFill="1" applyBorder="1" applyAlignment="1">
      <alignment vertical="center"/>
    </xf>
    <xf numFmtId="166" fontId="5" fillId="3" borderId="9" xfId="0" applyNumberFormat="1" applyFont="1" applyFill="1" applyBorder="1" applyAlignment="1">
      <alignment vertical="center"/>
    </xf>
    <xf numFmtId="166" fontId="5" fillId="3" borderId="10" xfId="0" applyNumberFormat="1" applyFont="1" applyFill="1" applyBorder="1" applyAlignment="1">
      <alignment vertical="center"/>
    </xf>
    <xf numFmtId="166" fontId="5" fillId="3" borderId="11" xfId="0" applyNumberFormat="1" applyFont="1" applyFill="1" applyBorder="1" applyAlignment="1">
      <alignment vertical="center"/>
    </xf>
    <xf numFmtId="166" fontId="5" fillId="3" borderId="12" xfId="0" applyNumberFormat="1" applyFont="1" applyFill="1" applyBorder="1" applyAlignment="1">
      <alignment vertical="center"/>
    </xf>
    <xf numFmtId="166" fontId="5" fillId="3" borderId="13" xfId="0" applyNumberFormat="1" applyFont="1" applyFill="1" applyBorder="1" applyAlignment="1">
      <alignment vertical="center"/>
    </xf>
    <xf numFmtId="166" fontId="5" fillId="3" borderId="14" xfId="0" applyNumberFormat="1" applyFont="1" applyFill="1" applyBorder="1" applyAlignment="1">
      <alignment vertical="center"/>
    </xf>
    <xf numFmtId="166" fontId="5" fillId="3" borderId="15" xfId="0" applyNumberFormat="1" applyFont="1" applyFill="1" applyBorder="1" applyAlignment="1">
      <alignment vertical="center"/>
    </xf>
    <xf numFmtId="166" fontId="5" fillId="3" borderId="16" xfId="0" applyNumberFormat="1" applyFont="1" applyFill="1" applyBorder="1" applyAlignment="1">
      <alignment vertical="center"/>
    </xf>
    <xf numFmtId="166" fontId="5" fillId="3" borderId="17" xfId="0" applyNumberFormat="1" applyFont="1" applyFill="1" applyBorder="1" applyAlignment="1">
      <alignment vertical="center"/>
    </xf>
    <xf numFmtId="166" fontId="5" fillId="3" borderId="18" xfId="0" applyNumberFormat="1" applyFont="1" applyFill="1" applyBorder="1" applyAlignment="1">
      <alignment vertical="center"/>
    </xf>
    <xf numFmtId="166" fontId="5" fillId="3" borderId="19" xfId="0" applyNumberFormat="1" applyFont="1" applyFill="1" applyBorder="1" applyAlignment="1">
      <alignment vertical="center"/>
    </xf>
    <xf numFmtId="166" fontId="5" fillId="3" borderId="20" xfId="0" applyNumberFormat="1" applyFont="1" applyFill="1" applyBorder="1" applyAlignment="1">
      <alignment vertical="center"/>
    </xf>
    <xf numFmtId="166" fontId="5" fillId="3" borderId="21" xfId="0" applyNumberFormat="1" applyFont="1" applyFill="1" applyBorder="1" applyAlignment="1">
      <alignment vertical="center"/>
    </xf>
    <xf numFmtId="166" fontId="5" fillId="3" borderId="22" xfId="0" applyNumberFormat="1" applyFont="1" applyFill="1" applyBorder="1" applyAlignment="1">
      <alignment vertical="center"/>
    </xf>
    <xf numFmtId="166" fontId="5" fillId="0" borderId="14" xfId="0" applyNumberFormat="1" applyFont="1" applyBorder="1" applyAlignment="1">
      <alignment vertical="center"/>
    </xf>
    <xf numFmtId="166" fontId="5" fillId="0" borderId="15" xfId="0" applyNumberFormat="1" applyFont="1" applyBorder="1" applyAlignment="1">
      <alignment vertical="center"/>
    </xf>
    <xf numFmtId="166" fontId="5" fillId="0" borderId="16" xfId="0" applyNumberFormat="1" applyFont="1" applyBorder="1" applyAlignment="1">
      <alignment vertical="center"/>
    </xf>
    <xf numFmtId="166" fontId="5" fillId="0" borderId="17" xfId="0" applyNumberFormat="1" applyFont="1" applyBorder="1" applyAlignment="1">
      <alignment vertical="center"/>
    </xf>
    <xf numFmtId="166" fontId="5" fillId="0" borderId="18" xfId="0" applyNumberFormat="1" applyFont="1" applyBorder="1" applyAlignment="1">
      <alignment vertical="center"/>
    </xf>
    <xf numFmtId="166" fontId="5" fillId="0" borderId="19" xfId="0" applyNumberFormat="1" applyFont="1" applyBorder="1" applyAlignment="1">
      <alignment vertical="center"/>
    </xf>
    <xf numFmtId="166" fontId="5" fillId="0" borderId="11" xfId="0" applyNumberFormat="1" applyFont="1" applyBorder="1" applyAlignment="1">
      <alignment vertical="center"/>
    </xf>
    <xf numFmtId="166" fontId="5" fillId="0" borderId="12" xfId="0" applyNumberFormat="1" applyFont="1" applyBorder="1" applyAlignment="1">
      <alignment vertical="center"/>
    </xf>
    <xf numFmtId="166" fontId="5" fillId="0" borderId="13" xfId="0" applyNumberFormat="1" applyFont="1" applyBorder="1" applyAlignment="1">
      <alignment vertical="center"/>
    </xf>
    <xf numFmtId="166" fontId="5" fillId="0" borderId="20" xfId="0" applyNumberFormat="1" applyFont="1" applyBorder="1" applyAlignment="1">
      <alignment vertical="center"/>
    </xf>
    <xf numFmtId="166" fontId="5" fillId="0" borderId="21" xfId="0" applyNumberFormat="1" applyFont="1" applyBorder="1" applyAlignment="1">
      <alignment vertical="center"/>
    </xf>
    <xf numFmtId="166" fontId="5" fillId="0" borderId="22" xfId="0" applyNumberFormat="1" applyFont="1" applyBorder="1" applyAlignment="1">
      <alignment vertical="center"/>
    </xf>
    <xf numFmtId="166" fontId="6" fillId="0" borderId="20" xfId="0" applyNumberFormat="1" applyFont="1" applyBorder="1" applyAlignment="1">
      <alignment vertical="center"/>
    </xf>
    <xf numFmtId="166" fontId="6" fillId="0" borderId="21" xfId="0" applyNumberFormat="1" applyFont="1" applyBorder="1" applyAlignment="1">
      <alignment vertical="center"/>
    </xf>
    <xf numFmtId="166" fontId="6" fillId="0" borderId="22" xfId="0" applyNumberFormat="1" applyFont="1" applyBorder="1" applyAlignment="1">
      <alignment vertical="center"/>
    </xf>
    <xf numFmtId="2" fontId="5" fillId="3" borderId="14" xfId="0" applyNumberFormat="1" applyFont="1" applyFill="1" applyBorder="1" applyAlignment="1">
      <alignment vertical="center"/>
    </xf>
    <xf numFmtId="2" fontId="5" fillId="3" borderId="15" xfId="0" applyNumberFormat="1" applyFont="1" applyFill="1" applyBorder="1" applyAlignment="1">
      <alignment vertical="center"/>
    </xf>
    <xf numFmtId="2" fontId="5" fillId="3" borderId="16" xfId="0" applyNumberFormat="1" applyFont="1" applyFill="1" applyBorder="1" applyAlignment="1">
      <alignment vertical="center"/>
    </xf>
    <xf numFmtId="2" fontId="5" fillId="3" borderId="17" xfId="0" applyNumberFormat="1" applyFont="1" applyFill="1" applyBorder="1" applyAlignment="1">
      <alignment vertical="center"/>
    </xf>
    <xf numFmtId="2" fontId="5" fillId="3" borderId="18" xfId="0" applyNumberFormat="1" applyFont="1" applyFill="1" applyBorder="1" applyAlignment="1">
      <alignment vertical="center"/>
    </xf>
    <xf numFmtId="2" fontId="5" fillId="3" borderId="19" xfId="0" applyNumberFormat="1" applyFont="1" applyFill="1" applyBorder="1" applyAlignment="1">
      <alignment vertical="center"/>
    </xf>
    <xf numFmtId="2" fontId="6" fillId="0" borderId="20" xfId="0" applyNumberFormat="1" applyFont="1" applyBorder="1" applyAlignment="1">
      <alignment vertical="center"/>
    </xf>
    <xf numFmtId="2" fontId="6" fillId="0" borderId="21" xfId="0" applyNumberFormat="1" applyFont="1" applyBorder="1" applyAlignment="1">
      <alignment vertical="center"/>
    </xf>
    <xf numFmtId="2" fontId="6" fillId="0" borderId="22" xfId="0" applyNumberFormat="1" applyFont="1" applyBorder="1" applyAlignment="1">
      <alignment vertical="center"/>
    </xf>
    <xf numFmtId="0" fontId="4" fillId="2" borderId="0" xfId="0" quotePrefix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0" xfId="0" quotePrefix="1" applyFont="1" applyFill="1" applyBorder="1" applyAlignment="1">
      <alignment horizontal="center" vertical="center"/>
    </xf>
    <xf numFmtId="0" fontId="15" fillId="3" borderId="0" xfId="0" quotePrefix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5" fillId="7" borderId="0" xfId="0" quotePrefix="1" applyFont="1" applyFill="1" applyBorder="1" applyAlignment="1">
      <alignment horizontal="left" vertical="top"/>
    </xf>
    <xf numFmtId="0" fontId="15" fillId="7" borderId="0" xfId="0" quotePrefix="1" applyFont="1" applyFill="1" applyAlignment="1">
      <alignment horizontal="right" vertical="top"/>
    </xf>
    <xf numFmtId="0" fontId="20" fillId="8" borderId="0" xfId="0" quotePrefix="1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Border="1" applyAlignment="1">
      <alignment vertical="center"/>
    </xf>
    <xf numFmtId="1" fontId="5" fillId="3" borderId="13" xfId="0" applyNumberFormat="1" applyFont="1" applyFill="1" applyBorder="1" applyAlignment="1">
      <alignment vertical="center"/>
    </xf>
    <xf numFmtId="1" fontId="6" fillId="0" borderId="20" xfId="0" applyNumberFormat="1" applyFont="1" applyBorder="1" applyAlignment="1">
      <alignment vertical="center"/>
    </xf>
    <xf numFmtId="1" fontId="6" fillId="0" borderId="21" xfId="0" applyNumberFormat="1" applyFont="1" applyBorder="1" applyAlignment="1">
      <alignment vertical="center"/>
    </xf>
    <xf numFmtId="1" fontId="6" fillId="0" borderId="22" xfId="0" applyNumberFormat="1" applyFont="1" applyBorder="1" applyAlignment="1">
      <alignment vertical="center"/>
    </xf>
    <xf numFmtId="0" fontId="25" fillId="8" borderId="0" xfId="0" quotePrefix="1" applyFont="1" applyFill="1" applyAlignment="1">
      <alignment horizontal="center" vertical="center"/>
    </xf>
    <xf numFmtId="0" fontId="2" fillId="9" borderId="0" xfId="0" applyFont="1" applyFill="1" applyBorder="1" applyAlignment="1">
      <alignment vertical="center"/>
    </xf>
    <xf numFmtId="0" fontId="26" fillId="0" borderId="0" xfId="0" applyFont="1" applyBorder="1" applyAlignment="1">
      <alignment horizontal="right" vertical="center"/>
    </xf>
    <xf numFmtId="166" fontId="28" fillId="3" borderId="12" xfId="0" applyNumberFormat="1" applyFont="1" applyFill="1" applyBorder="1" applyAlignment="1">
      <alignment vertical="center"/>
    </xf>
    <xf numFmtId="166" fontId="28" fillId="3" borderId="13" xfId="0" applyNumberFormat="1" applyFont="1" applyFill="1" applyBorder="1" applyAlignment="1">
      <alignment vertical="center"/>
    </xf>
    <xf numFmtId="166" fontId="29" fillId="3" borderId="12" xfId="0" applyNumberFormat="1" applyFont="1" applyFill="1" applyBorder="1" applyAlignment="1">
      <alignment vertical="center"/>
    </xf>
    <xf numFmtId="166" fontId="29" fillId="3" borderId="13" xfId="0" applyNumberFormat="1" applyFont="1" applyFill="1" applyBorder="1" applyAlignment="1">
      <alignment vertical="center"/>
    </xf>
    <xf numFmtId="166" fontId="28" fillId="3" borderId="21" xfId="0" applyNumberFormat="1" applyFont="1" applyFill="1" applyBorder="1" applyAlignment="1">
      <alignment vertical="center"/>
    </xf>
    <xf numFmtId="166" fontId="28" fillId="3" borderId="22" xfId="0" applyNumberFormat="1" applyFont="1" applyFill="1" applyBorder="1" applyAlignment="1">
      <alignment vertical="center"/>
    </xf>
    <xf numFmtId="166" fontId="29" fillId="3" borderId="21" xfId="0" applyNumberFormat="1" applyFont="1" applyFill="1" applyBorder="1" applyAlignment="1">
      <alignment vertical="center"/>
    </xf>
    <xf numFmtId="166" fontId="29" fillId="3" borderId="22" xfId="0" applyNumberFormat="1" applyFont="1" applyFill="1" applyBorder="1" applyAlignment="1">
      <alignment vertical="center"/>
    </xf>
    <xf numFmtId="168" fontId="1" fillId="0" borderId="0" xfId="1" applyNumberFormat="1" applyFont="1" applyBorder="1" applyAlignment="1">
      <alignment horizontal="center" vertical="center"/>
    </xf>
    <xf numFmtId="166" fontId="30" fillId="2" borderId="0" xfId="0" applyNumberFormat="1" applyFont="1" applyFill="1" applyBorder="1" applyAlignment="1">
      <alignment horizontal="right" vertical="center"/>
    </xf>
    <xf numFmtId="166" fontId="18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6" borderId="0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wrapText="1"/>
    </xf>
    <xf numFmtId="4" fontId="27" fillId="0" borderId="0" xfId="0" applyNumberFormat="1" applyFont="1" applyAlignment="1">
      <alignment wrapText="1"/>
    </xf>
    <xf numFmtId="3" fontId="5" fillId="3" borderId="9" xfId="0" applyNumberFormat="1" applyFont="1" applyFill="1" applyBorder="1" applyAlignment="1">
      <alignment vertical="center"/>
    </xf>
    <xf numFmtId="3" fontId="5" fillId="3" borderId="10" xfId="0" applyNumberFormat="1" applyFont="1" applyFill="1" applyBorder="1" applyAlignment="1">
      <alignment vertical="center"/>
    </xf>
    <xf numFmtId="3" fontId="5" fillId="3" borderId="12" xfId="0" applyNumberFormat="1" applyFont="1" applyFill="1" applyBorder="1" applyAlignment="1">
      <alignment vertical="center"/>
    </xf>
    <xf numFmtId="3" fontId="5" fillId="3" borderId="13" xfId="0" applyNumberFormat="1" applyFont="1" applyFill="1" applyBorder="1" applyAlignment="1">
      <alignment vertical="center"/>
    </xf>
    <xf numFmtId="3" fontId="6" fillId="0" borderId="21" xfId="0" applyNumberFormat="1" applyFont="1" applyFill="1" applyBorder="1" applyAlignment="1">
      <alignment vertical="center"/>
    </xf>
    <xf numFmtId="3" fontId="6" fillId="0" borderId="22" xfId="0" applyNumberFormat="1" applyFont="1" applyFill="1" applyBorder="1" applyAlignment="1">
      <alignment vertical="center"/>
    </xf>
    <xf numFmtId="1" fontId="6" fillId="0" borderId="22" xfId="0" applyNumberFormat="1" applyFont="1" applyFill="1" applyBorder="1" applyAlignment="1">
      <alignment vertical="center"/>
    </xf>
    <xf numFmtId="165" fontId="2" fillId="0" borderId="20" xfId="2" applyNumberFormat="1" applyFont="1" applyFill="1" applyBorder="1" applyAlignment="1">
      <alignment vertical="center"/>
    </xf>
    <xf numFmtId="165" fontId="2" fillId="0" borderId="21" xfId="2" applyNumberFormat="1" applyFont="1" applyFill="1" applyBorder="1" applyAlignment="1">
      <alignment vertical="center"/>
    </xf>
    <xf numFmtId="165" fontId="2" fillId="0" borderId="22" xfId="2" applyNumberFormat="1" applyFont="1" applyFill="1" applyBorder="1" applyAlignment="1">
      <alignment vertical="center"/>
    </xf>
    <xf numFmtId="3" fontId="6" fillId="0" borderId="21" xfId="0" applyNumberFormat="1" applyFont="1" applyBorder="1" applyAlignment="1">
      <alignment vertical="center"/>
    </xf>
    <xf numFmtId="3" fontId="6" fillId="0" borderId="2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5" fillId="3" borderId="21" xfId="0" applyNumberFormat="1" applyFont="1" applyFill="1" applyBorder="1" applyAlignment="1">
      <alignment vertical="center"/>
    </xf>
    <xf numFmtId="3" fontId="5" fillId="3" borderId="22" xfId="0" applyNumberFormat="1" applyFont="1" applyFill="1" applyBorder="1" applyAlignment="1">
      <alignment vertical="center"/>
    </xf>
    <xf numFmtId="3" fontId="5" fillId="0" borderId="21" xfId="0" applyNumberFormat="1" applyFont="1" applyBorder="1" applyAlignment="1">
      <alignment vertical="center"/>
    </xf>
    <xf numFmtId="3" fontId="5" fillId="0" borderId="22" xfId="0" applyNumberFormat="1" applyFont="1" applyBorder="1" applyAlignment="1">
      <alignment vertical="center"/>
    </xf>
    <xf numFmtId="3" fontId="5" fillId="3" borderId="15" xfId="0" applyNumberFormat="1" applyFont="1" applyFill="1" applyBorder="1" applyAlignment="1">
      <alignment vertical="center"/>
    </xf>
    <xf numFmtId="3" fontId="5" fillId="3" borderId="16" xfId="0" applyNumberFormat="1" applyFont="1" applyFill="1" applyBorder="1" applyAlignment="1">
      <alignment vertical="center"/>
    </xf>
    <xf numFmtId="3" fontId="5" fillId="0" borderId="15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3" borderId="18" xfId="0" applyNumberFormat="1" applyFont="1" applyFill="1" applyBorder="1" applyAlignment="1">
      <alignment vertical="center"/>
    </xf>
    <xf numFmtId="3" fontId="5" fillId="3" borderId="19" xfId="0" applyNumberFormat="1" applyFont="1" applyFill="1" applyBorder="1" applyAlignment="1">
      <alignment vertical="center"/>
    </xf>
    <xf numFmtId="3" fontId="5" fillId="0" borderId="18" xfId="0" applyNumberFormat="1" applyFont="1" applyBorder="1" applyAlignment="1">
      <alignment vertical="center"/>
    </xf>
    <xf numFmtId="3" fontId="5" fillId="0" borderId="19" xfId="0" applyNumberFormat="1" applyFont="1" applyBorder="1" applyAlignment="1">
      <alignment vertical="center"/>
    </xf>
    <xf numFmtId="166" fontId="32" fillId="0" borderId="22" xfId="0" applyNumberFormat="1" applyFont="1" applyBorder="1" applyAlignment="1">
      <alignment vertical="center"/>
    </xf>
    <xf numFmtId="2" fontId="5" fillId="3" borderId="21" xfId="0" applyNumberFormat="1" applyFont="1" applyFill="1" applyBorder="1" applyAlignment="1">
      <alignment vertical="center"/>
    </xf>
    <xf numFmtId="2" fontId="5" fillId="3" borderId="22" xfId="0" applyNumberFormat="1" applyFont="1" applyFill="1" applyBorder="1" applyAlignment="1">
      <alignment vertical="center"/>
    </xf>
    <xf numFmtId="0" fontId="15" fillId="7" borderId="0" xfId="8" quotePrefix="1" applyFont="1" applyFill="1" applyBorder="1" applyAlignment="1">
      <alignment horizontal="left" vertical="top"/>
    </xf>
    <xf numFmtId="0" fontId="5" fillId="7" borderId="0" xfId="8" applyFont="1" applyFill="1" applyBorder="1" applyAlignment="1">
      <alignment vertical="top"/>
    </xf>
    <xf numFmtId="0" fontId="5" fillId="7" borderId="0" xfId="8" applyFont="1" applyFill="1" applyAlignment="1">
      <alignment vertical="top"/>
    </xf>
    <xf numFmtId="0" fontId="7" fillId="7" borderId="0" xfId="8" applyFont="1" applyFill="1" applyAlignment="1">
      <alignment vertical="center"/>
    </xf>
    <xf numFmtId="0" fontId="15" fillId="7" borderId="0" xfId="8" quotePrefix="1" applyFont="1" applyFill="1" applyAlignment="1">
      <alignment horizontal="right" vertical="top"/>
    </xf>
    <xf numFmtId="0" fontId="5" fillId="0" borderId="0" xfId="8" applyFont="1" applyAlignment="1">
      <alignment vertical="top"/>
    </xf>
    <xf numFmtId="0" fontId="5" fillId="0" borderId="0" xfId="8" applyFont="1" applyAlignment="1">
      <alignment vertical="center"/>
    </xf>
    <xf numFmtId="0" fontId="1" fillId="0" borderId="0" xfId="8" applyFont="1" applyAlignment="1">
      <alignment horizontal="centerContinuous" vertical="center"/>
    </xf>
    <xf numFmtId="0" fontId="1" fillId="0" borderId="0" xfId="8" applyFont="1" applyAlignment="1">
      <alignment vertical="center"/>
    </xf>
    <xf numFmtId="0" fontId="18" fillId="0" borderId="0" xfId="8" applyFont="1" applyAlignment="1">
      <alignment vertical="center"/>
    </xf>
    <xf numFmtId="0" fontId="17" fillId="0" borderId="0" xfId="8" applyFont="1" applyAlignment="1">
      <alignment horizontal="center" vertical="top"/>
    </xf>
    <xf numFmtId="0" fontId="1" fillId="0" borderId="0" xfId="8" applyFont="1" applyBorder="1" applyAlignment="1">
      <alignment vertical="center"/>
    </xf>
    <xf numFmtId="0" fontId="20" fillId="8" borderId="0" xfId="8" quotePrefix="1" applyFont="1" applyFill="1" applyAlignment="1">
      <alignment horizontal="center" vertical="center"/>
    </xf>
    <xf numFmtId="0" fontId="6" fillId="3" borderId="0" xfId="8" quotePrefix="1" applyFont="1" applyFill="1" applyBorder="1" applyAlignment="1">
      <alignment horizontal="center" vertical="center"/>
    </xf>
    <xf numFmtId="0" fontId="15" fillId="3" borderId="0" xfId="8" quotePrefix="1" applyFont="1" applyFill="1" applyBorder="1" applyAlignment="1">
      <alignment horizontal="center" vertical="center"/>
    </xf>
    <xf numFmtId="0" fontId="2" fillId="0" borderId="0" xfId="8" applyFont="1" applyBorder="1" applyAlignment="1">
      <alignment vertical="center"/>
    </xf>
    <xf numFmtId="0" fontId="4" fillId="0" borderId="0" xfId="8" applyFont="1" applyAlignment="1">
      <alignment vertical="center"/>
    </xf>
    <xf numFmtId="0" fontId="4" fillId="2" borderId="0" xfId="8" applyFont="1" applyFill="1" applyBorder="1" applyAlignment="1">
      <alignment vertical="center"/>
    </xf>
    <xf numFmtId="0" fontId="2" fillId="2" borderId="0" xfId="8" applyFont="1" applyFill="1" applyBorder="1" applyAlignment="1">
      <alignment vertical="center"/>
    </xf>
    <xf numFmtId="0" fontId="1" fillId="2" borderId="0" xfId="8" applyFont="1" applyFill="1" applyBorder="1" applyAlignment="1">
      <alignment vertical="center"/>
    </xf>
    <xf numFmtId="0" fontId="1" fillId="2" borderId="0" xfId="8" applyFont="1" applyFill="1" applyBorder="1" applyAlignment="1">
      <alignment horizontal="right" vertical="center"/>
    </xf>
    <xf numFmtId="0" fontId="2" fillId="2" borderId="0" xfId="8" applyFont="1" applyFill="1" applyAlignment="1">
      <alignment vertical="center"/>
    </xf>
    <xf numFmtId="0" fontId="2" fillId="7" borderId="1" xfId="8" applyFont="1" applyFill="1" applyBorder="1" applyAlignment="1">
      <alignment vertical="center"/>
    </xf>
    <xf numFmtId="0" fontId="1" fillId="7" borderId="7" xfId="8" quotePrefix="1" applyFont="1" applyFill="1" applyBorder="1" applyAlignment="1">
      <alignment horizontal="center" vertical="center"/>
    </xf>
    <xf numFmtId="0" fontId="2" fillId="7" borderId="2" xfId="8" applyFont="1" applyFill="1" applyBorder="1" applyAlignment="1">
      <alignment vertical="center"/>
    </xf>
    <xf numFmtId="0" fontId="2" fillId="6" borderId="0" xfId="8" applyFont="1" applyFill="1" applyBorder="1" applyAlignment="1">
      <alignment vertical="center"/>
    </xf>
    <xf numFmtId="0" fontId="2" fillId="6" borderId="0" xfId="8" quotePrefix="1" applyFont="1" applyFill="1" applyBorder="1" applyAlignment="1">
      <alignment horizontal="center" vertical="center"/>
    </xf>
    <xf numFmtId="0" fontId="1" fillId="6" borderId="0" xfId="8" applyFont="1" applyFill="1" applyBorder="1" applyAlignment="1">
      <alignment vertical="center"/>
    </xf>
    <xf numFmtId="0" fontId="4" fillId="6" borderId="0" xfId="8" applyFont="1" applyFill="1" applyBorder="1" applyAlignment="1">
      <alignment vertical="center"/>
    </xf>
    <xf numFmtId="0" fontId="3" fillId="2" borderId="0" xfId="8" applyFont="1" applyFill="1" applyBorder="1" applyAlignment="1">
      <alignment vertical="center"/>
    </xf>
    <xf numFmtId="0" fontId="4" fillId="2" borderId="0" xfId="8" quotePrefix="1" applyFont="1" applyFill="1" applyBorder="1" applyAlignment="1">
      <alignment horizontal="right" vertical="center"/>
    </xf>
    <xf numFmtId="0" fontId="2" fillId="7" borderId="3" xfId="8" applyFont="1" applyFill="1" applyBorder="1" applyAlignment="1">
      <alignment horizontal="center" vertical="center"/>
    </xf>
    <xf numFmtId="0" fontId="2" fillId="7" borderId="4" xfId="8" applyFont="1" applyFill="1" applyBorder="1" applyAlignment="1">
      <alignment horizontal="center" vertical="center"/>
    </xf>
    <xf numFmtId="0" fontId="2" fillId="7" borderId="5" xfId="8" applyFont="1" applyFill="1" applyBorder="1" applyAlignment="1">
      <alignment horizontal="center" vertical="center"/>
    </xf>
    <xf numFmtId="0" fontId="2" fillId="6" borderId="0" xfId="8" applyFont="1" applyFill="1" applyBorder="1" applyAlignment="1">
      <alignment horizontal="center" vertical="center"/>
    </xf>
    <xf numFmtId="0" fontId="4" fillId="0" borderId="0" xfId="8" quotePrefix="1" applyFont="1" applyBorder="1" applyAlignment="1">
      <alignment horizontal="left" vertical="center"/>
    </xf>
    <xf numFmtId="166" fontId="5" fillId="3" borderId="8" xfId="8" applyNumberFormat="1" applyFont="1" applyFill="1" applyBorder="1" applyAlignment="1">
      <alignment vertical="center"/>
    </xf>
    <xf numFmtId="166" fontId="5" fillId="3" borderId="9" xfId="8" applyNumberFormat="1" applyFont="1" applyFill="1" applyBorder="1" applyAlignment="1">
      <alignment vertical="center"/>
    </xf>
    <xf numFmtId="0" fontId="1" fillId="0" borderId="0" xfId="8" quotePrefix="1" applyFont="1" applyBorder="1" applyAlignment="1">
      <alignment horizontal="left" vertical="center"/>
    </xf>
    <xf numFmtId="166" fontId="5" fillId="3" borderId="11" xfId="8" applyNumberFormat="1" applyFont="1" applyFill="1" applyBorder="1" applyAlignment="1">
      <alignment vertical="center"/>
    </xf>
    <xf numFmtId="166" fontId="5" fillId="3" borderId="12" xfId="8" applyNumberFormat="1" applyFont="1" applyFill="1" applyBorder="1" applyAlignment="1">
      <alignment vertical="center"/>
    </xf>
    <xf numFmtId="0" fontId="1" fillId="0" borderId="6" xfId="8" applyFont="1" applyBorder="1" applyAlignment="1">
      <alignment horizontal="left" vertical="center"/>
    </xf>
    <xf numFmtId="0" fontId="1" fillId="0" borderId="0" xfId="8" quotePrefix="1" applyFont="1" applyBorder="1" applyAlignment="1">
      <alignment horizontal="right" vertical="center"/>
    </xf>
    <xf numFmtId="166" fontId="6" fillId="0" borderId="20" xfId="8" applyNumberFormat="1" applyFont="1" applyBorder="1" applyAlignment="1">
      <alignment vertical="center"/>
    </xf>
    <xf numFmtId="166" fontId="6" fillId="0" borderId="21" xfId="8" applyNumberFormat="1" applyFont="1" applyBorder="1" applyAlignment="1">
      <alignment vertical="center"/>
    </xf>
    <xf numFmtId="0" fontId="4" fillId="2" borderId="0" xfId="8" quotePrefix="1" applyFont="1" applyFill="1" applyBorder="1" applyAlignment="1">
      <alignment horizontal="left" vertical="center"/>
    </xf>
    <xf numFmtId="0" fontId="2" fillId="2" borderId="0" xfId="8" applyFont="1" applyFill="1" applyBorder="1" applyAlignment="1">
      <alignment horizontal="right" vertical="center"/>
    </xf>
    <xf numFmtId="0" fontId="3" fillId="2" borderId="0" xfId="8" quotePrefix="1" applyFont="1" applyFill="1" applyBorder="1" applyAlignment="1">
      <alignment horizontal="left" vertical="center"/>
    </xf>
    <xf numFmtId="0" fontId="4" fillId="2" borderId="0" xfId="8" applyFont="1" applyFill="1" applyBorder="1" applyAlignment="1">
      <alignment horizontal="right" vertical="center"/>
    </xf>
    <xf numFmtId="0" fontId="2" fillId="0" borderId="0" xfId="8" applyFont="1" applyAlignment="1">
      <alignment vertical="center"/>
    </xf>
    <xf numFmtId="166" fontId="5" fillId="3" borderId="14" xfId="8" applyNumberFormat="1" applyFont="1" applyFill="1" applyBorder="1" applyAlignment="1">
      <alignment vertical="center"/>
    </xf>
    <xf numFmtId="166" fontId="5" fillId="3" borderId="15" xfId="8" applyNumberFormat="1" applyFont="1" applyFill="1" applyBorder="1" applyAlignment="1">
      <alignment vertical="center"/>
    </xf>
    <xf numFmtId="166" fontId="5" fillId="0" borderId="14" xfId="8" applyNumberFormat="1" applyFont="1" applyBorder="1" applyAlignment="1">
      <alignment vertical="center"/>
    </xf>
    <xf numFmtId="166" fontId="5" fillId="0" borderId="15" xfId="8" applyNumberFormat="1" applyFont="1" applyBorder="1" applyAlignment="1">
      <alignment vertical="center"/>
    </xf>
    <xf numFmtId="166" fontId="5" fillId="0" borderId="16" xfId="8" applyNumberFormat="1" applyFont="1" applyBorder="1" applyAlignment="1">
      <alignment vertical="center"/>
    </xf>
    <xf numFmtId="0" fontId="1" fillId="0" borderId="6" xfId="8" applyFont="1" applyBorder="1" applyAlignment="1">
      <alignment vertical="center"/>
    </xf>
    <xf numFmtId="166" fontId="5" fillId="3" borderId="17" xfId="8" applyNumberFormat="1" applyFont="1" applyFill="1" applyBorder="1" applyAlignment="1">
      <alignment vertical="center"/>
    </xf>
    <xf numFmtId="166" fontId="5" fillId="3" borderId="18" xfId="8" applyNumberFormat="1" applyFont="1" applyFill="1" applyBorder="1" applyAlignment="1">
      <alignment vertical="center"/>
    </xf>
    <xf numFmtId="166" fontId="5" fillId="0" borderId="17" xfId="8" applyNumberFormat="1" applyFont="1" applyBorder="1" applyAlignment="1">
      <alignment vertical="center"/>
    </xf>
    <xf numFmtId="166" fontId="5" fillId="0" borderId="18" xfId="8" applyNumberFormat="1" applyFont="1" applyBorder="1" applyAlignment="1">
      <alignment vertical="center"/>
    </xf>
    <xf numFmtId="166" fontId="5" fillId="0" borderId="19" xfId="8" applyNumberFormat="1" applyFont="1" applyBorder="1" applyAlignment="1">
      <alignment vertical="center"/>
    </xf>
    <xf numFmtId="0" fontId="4" fillId="0" borderId="0" xfId="8" applyFont="1" applyBorder="1" applyAlignment="1">
      <alignment horizontal="right" vertical="center"/>
    </xf>
    <xf numFmtId="166" fontId="6" fillId="0" borderId="22" xfId="8" applyNumberFormat="1" applyFont="1" applyBorder="1" applyAlignment="1">
      <alignment vertical="center"/>
    </xf>
    <xf numFmtId="0" fontId="1" fillId="0" borderId="0" xfId="8" applyFont="1" applyBorder="1" applyAlignment="1">
      <alignment horizontal="center" vertical="center"/>
    </xf>
    <xf numFmtId="166" fontId="5" fillId="0" borderId="11" xfId="8" applyNumberFormat="1" applyFont="1" applyFill="1" applyBorder="1" applyAlignment="1">
      <alignment vertical="center"/>
    </xf>
    <xf numFmtId="166" fontId="5" fillId="0" borderId="12" xfId="8" applyNumberFormat="1" applyFont="1" applyFill="1" applyBorder="1" applyAlignment="1">
      <alignment vertical="center"/>
    </xf>
    <xf numFmtId="166" fontId="5" fillId="0" borderId="13" xfId="8" applyNumberFormat="1" applyFont="1" applyFill="1" applyBorder="1" applyAlignment="1">
      <alignment vertical="center"/>
    </xf>
    <xf numFmtId="165" fontId="2" fillId="0" borderId="11" xfId="2" applyNumberFormat="1" applyFont="1" applyFill="1" applyBorder="1" applyAlignment="1">
      <alignment vertical="center"/>
    </xf>
    <xf numFmtId="165" fontId="2" fillId="0" borderId="12" xfId="2" applyNumberFormat="1" applyFont="1" applyFill="1" applyBorder="1" applyAlignment="1">
      <alignment vertical="center"/>
    </xf>
    <xf numFmtId="165" fontId="2" fillId="0" borderId="13" xfId="2" applyNumberFormat="1" applyFont="1" applyFill="1" applyBorder="1" applyAlignment="1">
      <alignment vertical="center"/>
    </xf>
    <xf numFmtId="0" fontId="1" fillId="0" borderId="0" xfId="8" applyFont="1" applyFill="1" applyAlignment="1">
      <alignment vertical="center"/>
    </xf>
    <xf numFmtId="166" fontId="5" fillId="0" borderId="11" xfId="8" applyNumberFormat="1" applyFont="1" applyBorder="1" applyAlignment="1">
      <alignment vertical="center"/>
    </xf>
    <xf numFmtId="166" fontId="5" fillId="0" borderId="12" xfId="8" applyNumberFormat="1" applyFont="1" applyBorder="1" applyAlignment="1">
      <alignment vertical="center"/>
    </xf>
    <xf numFmtId="166" fontId="5" fillId="0" borderId="13" xfId="8" applyNumberFormat="1" applyFont="1" applyBorder="1" applyAlignment="1">
      <alignment vertical="center"/>
    </xf>
    <xf numFmtId="166" fontId="5" fillId="0" borderId="0" xfId="8" applyNumberFormat="1" applyFont="1" applyAlignment="1">
      <alignment vertical="center"/>
    </xf>
    <xf numFmtId="0" fontId="1" fillId="0" borderId="0" xfId="8" quotePrefix="1" applyFont="1" applyBorder="1" applyAlignment="1">
      <alignment horizontal="center" vertical="center"/>
    </xf>
    <xf numFmtId="166" fontId="5" fillId="0" borderId="20" xfId="8" applyNumberFormat="1" applyFont="1" applyFill="1" applyBorder="1" applyAlignment="1">
      <alignment vertical="center"/>
    </xf>
    <xf numFmtId="166" fontId="5" fillId="0" borderId="21" xfId="8" applyNumberFormat="1" applyFont="1" applyFill="1" applyBorder="1" applyAlignment="1">
      <alignment vertical="center"/>
    </xf>
    <xf numFmtId="166" fontId="5" fillId="0" borderId="22" xfId="8" applyNumberFormat="1" applyFont="1" applyFill="1" applyBorder="1" applyAlignment="1">
      <alignment vertical="center"/>
    </xf>
    <xf numFmtId="166" fontId="5" fillId="0" borderId="20" xfId="8" applyNumberFormat="1" applyFont="1" applyBorder="1" applyAlignment="1">
      <alignment vertical="center"/>
    </xf>
    <xf numFmtId="166" fontId="5" fillId="0" borderId="21" xfId="8" applyNumberFormat="1" applyFont="1" applyBorder="1" applyAlignment="1">
      <alignment vertical="center"/>
    </xf>
    <xf numFmtId="166" fontId="5" fillId="0" borderId="22" xfId="8" applyNumberFormat="1" applyFont="1" applyBorder="1" applyAlignment="1">
      <alignment vertical="center"/>
    </xf>
    <xf numFmtId="166" fontId="5" fillId="3" borderId="16" xfId="8" applyNumberFormat="1" applyFont="1" applyFill="1" applyBorder="1" applyAlignment="1">
      <alignment vertical="center"/>
    </xf>
    <xf numFmtId="166" fontId="5" fillId="3" borderId="20" xfId="8" applyNumberFormat="1" applyFont="1" applyFill="1" applyBorder="1" applyAlignment="1">
      <alignment vertical="center"/>
    </xf>
    <xf numFmtId="166" fontId="5" fillId="3" borderId="21" xfId="8" applyNumberFormat="1" applyFont="1" applyFill="1" applyBorder="1" applyAlignment="1">
      <alignment vertical="center"/>
    </xf>
    <xf numFmtId="166" fontId="5" fillId="3" borderId="22" xfId="8" applyNumberFormat="1" applyFont="1" applyFill="1" applyBorder="1" applyAlignment="1">
      <alignment vertical="center"/>
    </xf>
    <xf numFmtId="0" fontId="2" fillId="0" borderId="0" xfId="8" quotePrefix="1" applyFont="1" applyBorder="1" applyAlignment="1">
      <alignment horizontal="left" vertical="center"/>
    </xf>
    <xf numFmtId="166" fontId="5" fillId="0" borderId="14" xfId="8" applyNumberFormat="1" applyFont="1" applyFill="1" applyBorder="1" applyAlignment="1">
      <alignment vertical="center"/>
    </xf>
    <xf numFmtId="166" fontId="5" fillId="0" borderId="15" xfId="8" applyNumberFormat="1" applyFont="1" applyFill="1" applyBorder="1" applyAlignment="1">
      <alignment vertical="center"/>
    </xf>
    <xf numFmtId="166" fontId="5" fillId="0" borderId="16" xfId="8" applyNumberFormat="1" applyFont="1" applyFill="1" applyBorder="1" applyAlignment="1">
      <alignment vertical="center"/>
    </xf>
    <xf numFmtId="165" fontId="2" fillId="0" borderId="14" xfId="2" applyNumberFormat="1" applyFont="1" applyFill="1" applyBorder="1" applyAlignment="1">
      <alignment vertical="center"/>
    </xf>
    <xf numFmtId="165" fontId="2" fillId="0" borderId="15" xfId="2" applyNumberFormat="1" applyFont="1" applyFill="1" applyBorder="1" applyAlignment="1">
      <alignment vertical="center"/>
    </xf>
    <xf numFmtId="165" fontId="2" fillId="0" borderId="16" xfId="2" applyNumberFormat="1" applyFont="1" applyFill="1" applyBorder="1" applyAlignment="1">
      <alignment vertical="center"/>
    </xf>
    <xf numFmtId="166" fontId="5" fillId="0" borderId="17" xfId="8" applyNumberFormat="1" applyFont="1" applyFill="1" applyBorder="1" applyAlignment="1">
      <alignment vertical="center"/>
    </xf>
    <xf numFmtId="166" fontId="5" fillId="0" borderId="18" xfId="8" applyNumberFormat="1" applyFont="1" applyFill="1" applyBorder="1" applyAlignment="1">
      <alignment vertical="center"/>
    </xf>
    <xf numFmtId="166" fontId="5" fillId="0" borderId="19" xfId="8" applyNumberFormat="1" applyFont="1" applyFill="1" applyBorder="1" applyAlignment="1">
      <alignment vertical="center"/>
    </xf>
    <xf numFmtId="165" fontId="2" fillId="0" borderId="17" xfId="2" applyNumberFormat="1" applyFont="1" applyFill="1" applyBorder="1" applyAlignment="1">
      <alignment vertical="center"/>
    </xf>
    <xf numFmtId="165" fontId="2" fillId="0" borderId="18" xfId="2" applyNumberFormat="1" applyFont="1" applyFill="1" applyBorder="1" applyAlignment="1">
      <alignment vertical="center"/>
    </xf>
    <xf numFmtId="165" fontId="2" fillId="0" borderId="19" xfId="2" applyNumberFormat="1" applyFont="1" applyFill="1" applyBorder="1" applyAlignment="1">
      <alignment vertical="center"/>
    </xf>
    <xf numFmtId="166" fontId="6" fillId="0" borderId="20" xfId="8" applyNumberFormat="1" applyFont="1" applyFill="1" applyBorder="1" applyAlignment="1">
      <alignment vertical="center"/>
    </xf>
    <xf numFmtId="166" fontId="6" fillId="0" borderId="21" xfId="8" applyNumberFormat="1" applyFont="1" applyFill="1" applyBorder="1" applyAlignment="1">
      <alignment vertical="center"/>
    </xf>
    <xf numFmtId="166" fontId="6" fillId="0" borderId="22" xfId="8" applyNumberFormat="1" applyFont="1" applyFill="1" applyBorder="1" applyAlignment="1">
      <alignment vertical="center"/>
    </xf>
    <xf numFmtId="0" fontId="4" fillId="0" borderId="0" xfId="8" applyFont="1" applyFill="1" applyAlignment="1">
      <alignment vertical="center"/>
    </xf>
    <xf numFmtId="0" fontId="12" fillId="0" borderId="0" xfId="8" applyFont="1" applyBorder="1" applyAlignment="1">
      <alignment horizontal="right" vertical="center"/>
    </xf>
    <xf numFmtId="0" fontId="19" fillId="0" borderId="0" xfId="8" applyFont="1" applyAlignment="1">
      <alignment vertical="center"/>
    </xf>
    <xf numFmtId="0" fontId="1" fillId="2" borderId="0" xfId="8" applyFont="1" applyFill="1" applyBorder="1" applyAlignment="1">
      <alignment horizontal="left" vertical="center"/>
    </xf>
    <xf numFmtId="0" fontId="2" fillId="2" borderId="0" xfId="8" applyFont="1" applyFill="1" applyBorder="1" applyAlignment="1">
      <alignment horizontal="left" vertical="center"/>
    </xf>
    <xf numFmtId="0" fontId="3" fillId="6" borderId="0" xfId="8" applyFont="1" applyFill="1" applyBorder="1" applyAlignment="1">
      <alignment vertical="center"/>
    </xf>
    <xf numFmtId="0" fontId="2" fillId="6" borderId="0" xfId="8" applyFont="1" applyFill="1" applyBorder="1" applyAlignment="1">
      <alignment horizontal="right" vertical="center"/>
    </xf>
    <xf numFmtId="0" fontId="1" fillId="6" borderId="0" xfId="8" applyFont="1" applyFill="1" applyAlignment="1">
      <alignment vertical="center"/>
    </xf>
    <xf numFmtId="2" fontId="5" fillId="3" borderId="14" xfId="8" applyNumberFormat="1" applyFont="1" applyFill="1" applyBorder="1" applyAlignment="1">
      <alignment vertical="center"/>
    </xf>
    <xf numFmtId="2" fontId="5" fillId="3" borderId="15" xfId="8" applyNumberFormat="1" applyFont="1" applyFill="1" applyBorder="1" applyAlignment="1">
      <alignment vertical="center"/>
    </xf>
    <xf numFmtId="2" fontId="5" fillId="0" borderId="14" xfId="8" applyNumberFormat="1" applyFont="1" applyFill="1" applyBorder="1" applyAlignment="1">
      <alignment vertical="center"/>
    </xf>
    <xf numFmtId="2" fontId="5" fillId="0" borderId="15" xfId="8" applyNumberFormat="1" applyFont="1" applyFill="1" applyBorder="1" applyAlignment="1">
      <alignment vertical="center"/>
    </xf>
    <xf numFmtId="2" fontId="5" fillId="0" borderId="16" xfId="8" applyNumberFormat="1" applyFont="1" applyFill="1" applyBorder="1" applyAlignment="1">
      <alignment vertical="center"/>
    </xf>
    <xf numFmtId="0" fontId="3" fillId="0" borderId="0" xfId="8" applyFont="1" applyFill="1" applyBorder="1" applyAlignment="1">
      <alignment horizontal="left" vertical="center"/>
    </xf>
    <xf numFmtId="0" fontId="1" fillId="6" borderId="6" xfId="8" applyFont="1" applyFill="1" applyBorder="1" applyAlignment="1">
      <alignment vertical="center"/>
    </xf>
    <xf numFmtId="2" fontId="5" fillId="3" borderId="17" xfId="8" applyNumberFormat="1" applyFont="1" applyFill="1" applyBorder="1" applyAlignment="1">
      <alignment vertical="center"/>
    </xf>
    <xf numFmtId="2" fontId="5" fillId="3" borderId="18" xfId="8" applyNumberFormat="1" applyFont="1" applyFill="1" applyBorder="1" applyAlignment="1">
      <alignment vertical="center"/>
    </xf>
    <xf numFmtId="2" fontId="5" fillId="0" borderId="17" xfId="8" applyNumberFormat="1" applyFont="1" applyFill="1" applyBorder="1" applyAlignment="1">
      <alignment vertical="center"/>
    </xf>
    <xf numFmtId="2" fontId="5" fillId="0" borderId="18" xfId="8" applyNumberFormat="1" applyFont="1" applyFill="1" applyBorder="1" applyAlignment="1">
      <alignment vertical="center"/>
    </xf>
    <xf numFmtId="2" fontId="5" fillId="0" borderId="19" xfId="8" applyNumberFormat="1" applyFont="1" applyFill="1" applyBorder="1" applyAlignment="1">
      <alignment vertical="center"/>
    </xf>
    <xf numFmtId="0" fontId="2" fillId="0" borderId="0" xfId="8" applyFont="1" applyFill="1" applyBorder="1" applyAlignment="1">
      <alignment horizontal="center" vertical="center"/>
    </xf>
    <xf numFmtId="0" fontId="4" fillId="6" borderId="0" xfId="8" applyFont="1" applyFill="1" applyBorder="1" applyAlignment="1">
      <alignment horizontal="right" vertical="center"/>
    </xf>
    <xf numFmtId="2" fontId="6" fillId="0" borderId="20" xfId="8" applyNumberFormat="1" applyFont="1" applyBorder="1" applyAlignment="1">
      <alignment vertical="center"/>
    </xf>
    <xf numFmtId="2" fontId="6" fillId="0" borderId="21" xfId="8" applyNumberFormat="1" applyFont="1" applyBorder="1" applyAlignment="1">
      <alignment vertical="center"/>
    </xf>
    <xf numFmtId="2" fontId="6" fillId="0" borderId="22" xfId="8" applyNumberFormat="1" applyFont="1" applyBorder="1" applyAlignment="1">
      <alignment vertical="center"/>
    </xf>
    <xf numFmtId="0" fontId="9" fillId="6" borderId="0" xfId="8" applyFont="1" applyFill="1" applyBorder="1" applyAlignment="1">
      <alignment vertical="center"/>
    </xf>
    <xf numFmtId="0" fontId="3" fillId="0" borderId="0" xfId="8" applyFont="1" applyBorder="1" applyAlignment="1">
      <alignment horizontal="left" vertical="center"/>
    </xf>
    <xf numFmtId="0" fontId="2" fillId="0" borderId="0" xfId="8" applyFont="1" applyBorder="1" applyAlignment="1">
      <alignment horizontal="center" vertical="center"/>
    </xf>
    <xf numFmtId="0" fontId="2" fillId="6" borderId="0" xfId="8" applyFont="1" applyFill="1" applyAlignment="1">
      <alignment vertical="center"/>
    </xf>
    <xf numFmtId="166" fontId="1" fillId="0" borderId="0" xfId="8" applyNumberFormat="1" applyFont="1" applyBorder="1" applyAlignment="1">
      <alignment vertical="center"/>
    </xf>
    <xf numFmtId="0" fontId="3" fillId="0" borderId="0" xfId="8" applyFont="1" applyBorder="1" applyAlignment="1">
      <alignment vertical="center"/>
    </xf>
    <xf numFmtId="166" fontId="5" fillId="3" borderId="10" xfId="8" applyNumberFormat="1" applyFont="1" applyFill="1" applyBorder="1" applyAlignment="1">
      <alignment vertical="center"/>
    </xf>
    <xf numFmtId="166" fontId="5" fillId="3" borderId="13" xfId="8" applyNumberFormat="1" applyFont="1" applyFill="1" applyBorder="1" applyAlignment="1">
      <alignment vertical="center"/>
    </xf>
    <xf numFmtId="166" fontId="5" fillId="3" borderId="26" xfId="8" applyNumberFormat="1" applyFont="1" applyFill="1" applyBorder="1" applyAlignment="1">
      <alignment vertical="center"/>
    </xf>
    <xf numFmtId="166" fontId="5" fillId="3" borderId="27" xfId="8" applyNumberFormat="1" applyFont="1" applyFill="1" applyBorder="1" applyAlignment="1">
      <alignment vertical="center"/>
    </xf>
    <xf numFmtId="166" fontId="5" fillId="3" borderId="19" xfId="8" applyNumberFormat="1" applyFont="1" applyFill="1" applyBorder="1" applyAlignment="1">
      <alignment vertical="center"/>
    </xf>
    <xf numFmtId="0" fontId="1" fillId="0" borderId="28" xfId="8" applyFont="1" applyBorder="1" applyAlignment="1">
      <alignment vertical="center"/>
    </xf>
    <xf numFmtId="166" fontId="5" fillId="0" borderId="29" xfId="8" applyNumberFormat="1" applyFont="1" applyBorder="1" applyAlignment="1">
      <alignment vertical="center"/>
    </xf>
    <xf numFmtId="166" fontId="5" fillId="0" borderId="30" xfId="8" applyNumberFormat="1" applyFont="1" applyBorder="1" applyAlignment="1">
      <alignment vertical="center"/>
    </xf>
    <xf numFmtId="166" fontId="5" fillId="0" borderId="2" xfId="8" applyNumberFormat="1" applyFont="1" applyBorder="1" applyAlignment="1">
      <alignment vertical="center"/>
    </xf>
    <xf numFmtId="166" fontId="5" fillId="0" borderId="31" xfId="8" applyNumberFormat="1" applyFont="1" applyBorder="1" applyAlignment="1">
      <alignment vertical="center"/>
    </xf>
    <xf numFmtId="169" fontId="1" fillId="0" borderId="0" xfId="1" applyNumberFormat="1" applyFont="1" applyBorder="1" applyAlignment="1">
      <alignment horizontal="center" vertical="center"/>
    </xf>
    <xf numFmtId="2" fontId="5" fillId="3" borderId="16" xfId="8" applyNumberFormat="1" applyFont="1" applyFill="1" applyBorder="1" applyAlignment="1">
      <alignment vertical="center"/>
    </xf>
    <xf numFmtId="2" fontId="5" fillId="3" borderId="19" xfId="8" applyNumberFormat="1" applyFont="1" applyFill="1" applyBorder="1" applyAlignment="1">
      <alignment vertical="center"/>
    </xf>
    <xf numFmtId="9" fontId="5" fillId="0" borderId="0" xfId="2" applyFont="1" applyAlignment="1">
      <alignment vertical="center"/>
    </xf>
    <xf numFmtId="166" fontId="5" fillId="0" borderId="0" xfId="0" applyNumberFormat="1" applyFont="1" applyAlignment="1">
      <alignment vertical="center"/>
    </xf>
    <xf numFmtId="1" fontId="5" fillId="3" borderId="9" xfId="3" applyNumberFormat="1" applyFont="1" applyFill="1" applyBorder="1" applyAlignment="1">
      <alignment vertical="center"/>
    </xf>
    <xf numFmtId="1" fontId="5" fillId="3" borderId="10" xfId="3" applyNumberFormat="1" applyFont="1" applyFill="1" applyBorder="1" applyAlignment="1">
      <alignment vertical="center"/>
    </xf>
    <xf numFmtId="1" fontId="5" fillId="3" borderId="10" xfId="7" applyNumberFormat="1" applyFont="1" applyFill="1" applyBorder="1" applyAlignment="1">
      <alignment vertical="center"/>
    </xf>
    <xf numFmtId="1" fontId="5" fillId="3" borderId="12" xfId="3" applyNumberFormat="1" applyFont="1" applyFill="1" applyBorder="1" applyAlignment="1">
      <alignment vertical="center"/>
    </xf>
    <xf numFmtId="1" fontId="5" fillId="3" borderId="12" xfId="7" applyNumberFormat="1" applyFont="1" applyFill="1" applyBorder="1" applyAlignment="1">
      <alignment vertical="center"/>
    </xf>
    <xf numFmtId="1" fontId="1" fillId="0" borderId="0" xfId="0" applyNumberFormat="1" applyFont="1" applyAlignment="1">
      <alignment vertical="center"/>
    </xf>
    <xf numFmtId="1" fontId="5" fillId="3" borderId="16" xfId="3" applyNumberFormat="1" applyFont="1" applyFill="1" applyBorder="1" applyAlignment="1">
      <alignment vertical="center"/>
    </xf>
    <xf numFmtId="1" fontId="5" fillId="3" borderId="16" xfId="0" applyNumberFormat="1" applyFont="1" applyFill="1" applyBorder="1" applyAlignment="1">
      <alignment vertical="center"/>
    </xf>
    <xf numFmtId="1" fontId="5" fillId="3" borderId="19" xfId="3" applyNumberFormat="1" applyFont="1" applyFill="1" applyBorder="1" applyAlignment="1">
      <alignment vertical="center"/>
    </xf>
    <xf numFmtId="1" fontId="5" fillId="3" borderId="19" xfId="0" applyNumberFormat="1" applyFont="1" applyFill="1" applyBorder="1" applyAlignment="1">
      <alignment vertical="center"/>
    </xf>
    <xf numFmtId="166" fontId="5" fillId="3" borderId="13" xfId="3" applyNumberFormat="1" applyFont="1" applyFill="1" applyBorder="1" applyAlignment="1">
      <alignment vertical="center"/>
    </xf>
    <xf numFmtId="166" fontId="5" fillId="3" borderId="22" xfId="3" applyNumberFormat="1" applyFont="1" applyFill="1" applyBorder="1" applyAlignment="1">
      <alignment vertical="center"/>
    </xf>
    <xf numFmtId="3" fontId="5" fillId="3" borderId="13" xfId="3" applyNumberFormat="1" applyFont="1" applyFill="1" applyBorder="1" applyAlignment="1">
      <alignment vertical="center"/>
    </xf>
    <xf numFmtId="3" fontId="5" fillId="3" borderId="22" xfId="3" applyNumberFormat="1" applyFont="1" applyFill="1" applyBorder="1" applyAlignment="1">
      <alignment vertical="center"/>
    </xf>
    <xf numFmtId="1" fontId="5" fillId="3" borderId="11" xfId="0" applyNumberFormat="1" applyFont="1" applyFill="1" applyBorder="1" applyAlignment="1">
      <alignment vertical="center"/>
    </xf>
    <xf numFmtId="1" fontId="5" fillId="3" borderId="12" xfId="0" applyNumberFormat="1" applyFont="1" applyFill="1" applyBorder="1" applyAlignment="1">
      <alignment vertical="center"/>
    </xf>
    <xf numFmtId="1" fontId="5" fillId="3" borderId="20" xfId="0" applyNumberFormat="1" applyFont="1" applyFill="1" applyBorder="1" applyAlignment="1">
      <alignment vertical="center"/>
    </xf>
    <xf numFmtId="1" fontId="5" fillId="3" borderId="21" xfId="0" applyNumberFormat="1" applyFont="1" applyFill="1" applyBorder="1" applyAlignment="1">
      <alignment vertical="center"/>
    </xf>
    <xf numFmtId="1" fontId="5" fillId="3" borderId="22" xfId="0" applyNumberFormat="1" applyFont="1" applyFill="1" applyBorder="1" applyAlignment="1">
      <alignment vertical="center"/>
    </xf>
    <xf numFmtId="2" fontId="5" fillId="3" borderId="16" xfId="3" applyNumberFormat="1" applyFont="1" applyFill="1" applyBorder="1" applyAlignment="1">
      <alignment vertical="center"/>
    </xf>
    <xf numFmtId="2" fontId="5" fillId="3" borderId="19" xfId="3" applyNumberFormat="1" applyFont="1" applyFill="1" applyBorder="1" applyAlignment="1">
      <alignment vertical="center"/>
    </xf>
    <xf numFmtId="2" fontId="5" fillId="3" borderId="8" xfId="0" applyNumberFormat="1" applyFont="1" applyFill="1" applyBorder="1" applyAlignment="1">
      <alignment vertical="center"/>
    </xf>
    <xf numFmtId="2" fontId="5" fillId="3" borderId="9" xfId="0" applyNumberFormat="1" applyFont="1" applyFill="1" applyBorder="1" applyAlignment="1">
      <alignment vertical="center"/>
    </xf>
    <xf numFmtId="2" fontId="5" fillId="3" borderId="10" xfId="0" applyNumberFormat="1" applyFont="1" applyFill="1" applyBorder="1" applyAlignment="1">
      <alignment vertical="center"/>
    </xf>
    <xf numFmtId="2" fontId="5" fillId="3" borderId="11" xfId="0" applyNumberFormat="1" applyFont="1" applyFill="1" applyBorder="1" applyAlignment="1">
      <alignment vertical="center"/>
    </xf>
    <xf numFmtId="2" fontId="5" fillId="3" borderId="12" xfId="0" applyNumberFormat="1" applyFont="1" applyFill="1" applyBorder="1" applyAlignment="1">
      <alignment vertical="center"/>
    </xf>
    <xf numFmtId="2" fontId="5" fillId="3" borderId="13" xfId="0" applyNumberFormat="1" applyFont="1" applyFill="1" applyBorder="1" applyAlignment="1">
      <alignment vertical="center"/>
    </xf>
    <xf numFmtId="170" fontId="5" fillId="3" borderId="14" xfId="0" applyNumberFormat="1" applyFont="1" applyFill="1" applyBorder="1" applyAlignment="1">
      <alignment vertical="center"/>
    </xf>
    <xf numFmtId="170" fontId="5" fillId="3" borderId="15" xfId="0" applyNumberFormat="1" applyFont="1" applyFill="1" applyBorder="1" applyAlignment="1">
      <alignment vertical="center"/>
    </xf>
    <xf numFmtId="170" fontId="5" fillId="3" borderId="16" xfId="0" applyNumberFormat="1" applyFont="1" applyFill="1" applyBorder="1" applyAlignment="1">
      <alignment vertical="center"/>
    </xf>
    <xf numFmtId="2" fontId="5" fillId="0" borderId="14" xfId="0" applyNumberFormat="1" applyFont="1" applyBorder="1" applyAlignment="1">
      <alignment vertical="center"/>
    </xf>
    <xf numFmtId="2" fontId="5" fillId="0" borderId="15" xfId="0" applyNumberFormat="1" applyFont="1" applyBorder="1" applyAlignment="1">
      <alignment vertical="center"/>
    </xf>
    <xf numFmtId="2" fontId="5" fillId="0" borderId="16" xfId="0" applyNumberFormat="1" applyFont="1" applyBorder="1" applyAlignment="1">
      <alignment vertical="center"/>
    </xf>
    <xf numFmtId="170" fontId="5" fillId="3" borderId="17" xfId="0" applyNumberFormat="1" applyFont="1" applyFill="1" applyBorder="1" applyAlignment="1">
      <alignment vertical="center"/>
    </xf>
    <xf numFmtId="170" fontId="5" fillId="3" borderId="18" xfId="0" applyNumberFormat="1" applyFont="1" applyFill="1" applyBorder="1" applyAlignment="1">
      <alignment vertical="center"/>
    </xf>
    <xf numFmtId="170" fontId="5" fillId="3" borderId="19" xfId="0" applyNumberFormat="1" applyFont="1" applyFill="1" applyBorder="1" applyAlignment="1">
      <alignment vertical="center"/>
    </xf>
    <xf numFmtId="2" fontId="5" fillId="0" borderId="17" xfId="0" applyNumberFormat="1" applyFont="1" applyBorder="1" applyAlignment="1">
      <alignment vertical="center"/>
    </xf>
    <xf numFmtId="2" fontId="5" fillId="0" borderId="18" xfId="0" applyNumberFormat="1" applyFont="1" applyBorder="1" applyAlignment="1">
      <alignment vertical="center"/>
    </xf>
    <xf numFmtId="2" fontId="5" fillId="0" borderId="19" xfId="0" applyNumberFormat="1" applyFont="1" applyBorder="1" applyAlignment="1">
      <alignment vertical="center"/>
    </xf>
    <xf numFmtId="170" fontId="6" fillId="0" borderId="20" xfId="0" applyNumberFormat="1" applyFont="1" applyBorder="1" applyAlignment="1">
      <alignment vertical="center"/>
    </xf>
    <xf numFmtId="170" fontId="6" fillId="0" borderId="21" xfId="0" applyNumberFormat="1" applyFont="1" applyBorder="1" applyAlignment="1">
      <alignment vertical="center"/>
    </xf>
    <xf numFmtId="170" fontId="6" fillId="0" borderId="22" xfId="0" applyNumberFormat="1" applyFont="1" applyBorder="1" applyAlignment="1">
      <alignment vertical="center"/>
    </xf>
    <xf numFmtId="170" fontId="5" fillId="3" borderId="11" xfId="0" applyNumberFormat="1" applyFont="1" applyFill="1" applyBorder="1" applyAlignment="1">
      <alignment vertical="center"/>
    </xf>
    <xf numFmtId="170" fontId="5" fillId="3" borderId="12" xfId="0" applyNumberFormat="1" applyFont="1" applyFill="1" applyBorder="1" applyAlignment="1">
      <alignment vertical="center"/>
    </xf>
    <xf numFmtId="170" fontId="5" fillId="3" borderId="13" xfId="0" applyNumberFormat="1" applyFont="1" applyFill="1" applyBorder="1" applyAlignment="1">
      <alignment vertical="center"/>
    </xf>
    <xf numFmtId="2" fontId="5" fillId="3" borderId="20" xfId="0" applyNumberFormat="1" applyFont="1" applyFill="1" applyBorder="1" applyAlignment="1">
      <alignment vertical="center"/>
    </xf>
    <xf numFmtId="170" fontId="5" fillId="3" borderId="20" xfId="0" applyNumberFormat="1" applyFont="1" applyFill="1" applyBorder="1" applyAlignment="1">
      <alignment vertical="center"/>
    </xf>
    <xf numFmtId="170" fontId="5" fillId="3" borderId="21" xfId="0" applyNumberFormat="1" applyFont="1" applyFill="1" applyBorder="1" applyAlignment="1">
      <alignment vertical="center"/>
    </xf>
    <xf numFmtId="170" fontId="5" fillId="3" borderId="22" xfId="0" applyNumberFormat="1" applyFont="1" applyFill="1" applyBorder="1" applyAlignment="1">
      <alignment vertical="center"/>
    </xf>
    <xf numFmtId="2" fontId="5" fillId="0" borderId="11" xfId="0" applyNumberFormat="1" applyFont="1" applyBorder="1" applyAlignment="1">
      <alignment vertical="center"/>
    </xf>
    <xf numFmtId="2" fontId="5" fillId="0" borderId="12" xfId="0" applyNumberFormat="1" applyFont="1" applyBorder="1" applyAlignment="1">
      <alignment vertical="center"/>
    </xf>
    <xf numFmtId="2" fontId="5" fillId="0" borderId="13" xfId="0" applyNumberFormat="1" applyFont="1" applyBorder="1" applyAlignment="1">
      <alignment vertical="center"/>
    </xf>
    <xf numFmtId="2" fontId="5" fillId="0" borderId="20" xfId="0" applyNumberFormat="1" applyFont="1" applyBorder="1" applyAlignment="1">
      <alignment vertical="center"/>
    </xf>
    <xf numFmtId="2" fontId="5" fillId="0" borderId="21" xfId="0" applyNumberFormat="1" applyFont="1" applyBorder="1" applyAlignment="1">
      <alignment vertical="center"/>
    </xf>
    <xf numFmtId="2" fontId="5" fillId="0" borderId="22" xfId="0" applyNumberFormat="1" applyFont="1" applyBorder="1" applyAlignment="1">
      <alignment vertical="center"/>
    </xf>
    <xf numFmtId="171" fontId="5" fillId="3" borderId="8" xfId="8" applyNumberFormat="1" applyFont="1" applyFill="1" applyBorder="1" applyAlignment="1">
      <alignment vertical="center"/>
    </xf>
    <xf numFmtId="171" fontId="5" fillId="3" borderId="9" xfId="8" applyNumberFormat="1" applyFont="1" applyFill="1" applyBorder="1" applyAlignment="1">
      <alignment vertical="center"/>
    </xf>
    <xf numFmtId="171" fontId="5" fillId="3" borderId="10" xfId="8" applyNumberFormat="1" applyFont="1" applyFill="1" applyBorder="1" applyAlignment="1">
      <alignment vertical="center"/>
    </xf>
    <xf numFmtId="171" fontId="5" fillId="3" borderId="11" xfId="8" applyNumberFormat="1" applyFont="1" applyFill="1" applyBorder="1" applyAlignment="1">
      <alignment vertical="center"/>
    </xf>
    <xf numFmtId="171" fontId="5" fillId="3" borderId="12" xfId="8" applyNumberFormat="1" applyFont="1" applyFill="1" applyBorder="1" applyAlignment="1">
      <alignment vertical="center"/>
    </xf>
    <xf numFmtId="171" fontId="5" fillId="3" borderId="13" xfId="8" applyNumberFormat="1" applyFont="1" applyFill="1" applyBorder="1" applyAlignment="1">
      <alignment vertical="center"/>
    </xf>
    <xf numFmtId="171" fontId="6" fillId="0" borderId="20" xfId="8" applyNumberFormat="1" applyFont="1" applyBorder="1" applyAlignment="1">
      <alignment vertical="center"/>
    </xf>
    <xf numFmtId="171" fontId="6" fillId="0" borderId="21" xfId="8" applyNumberFormat="1" applyFont="1" applyBorder="1" applyAlignment="1">
      <alignment vertical="center"/>
    </xf>
    <xf numFmtId="171" fontId="6" fillId="0" borderId="22" xfId="8" applyNumberFormat="1" applyFont="1" applyBorder="1" applyAlignment="1">
      <alignment vertical="center"/>
    </xf>
    <xf numFmtId="171" fontId="2" fillId="0" borderId="20" xfId="2" applyNumberFormat="1" applyFont="1" applyBorder="1" applyAlignment="1">
      <alignment vertical="center"/>
    </xf>
    <xf numFmtId="171" fontId="2" fillId="0" borderId="21" xfId="2" applyNumberFormat="1" applyFont="1" applyBorder="1" applyAlignment="1">
      <alignment vertical="center"/>
    </xf>
    <xf numFmtId="171" fontId="2" fillId="0" borderId="22" xfId="2" applyNumberFormat="1" applyFont="1" applyBorder="1" applyAlignment="1">
      <alignment vertical="center"/>
    </xf>
    <xf numFmtId="171" fontId="4" fillId="0" borderId="0" xfId="8" applyNumberFormat="1" applyFont="1" applyAlignment="1">
      <alignment vertical="center"/>
    </xf>
    <xf numFmtId="166" fontId="5" fillId="11" borderId="12" xfId="0" applyNumberFormat="1" applyFont="1" applyFill="1" applyBorder="1" applyAlignment="1">
      <alignment vertical="center"/>
    </xf>
    <xf numFmtId="167" fontId="1" fillId="0" borderId="0" xfId="6" applyFont="1" applyBorder="1" applyAlignment="1">
      <alignment horizontal="center" vertical="center"/>
    </xf>
    <xf numFmtId="0" fontId="13" fillId="2" borderId="7" xfId="8" applyFont="1" applyFill="1" applyBorder="1" applyAlignment="1">
      <alignment horizontal="right" vertical="center"/>
    </xf>
    <xf numFmtId="0" fontId="13" fillId="2" borderId="4" xfId="8" applyFont="1" applyFill="1" applyBorder="1" applyAlignment="1">
      <alignment horizontal="right" vertical="center"/>
    </xf>
    <xf numFmtId="0" fontId="13" fillId="2" borderId="2" xfId="8" applyFont="1" applyFill="1" applyBorder="1" applyAlignment="1">
      <alignment horizontal="right" vertical="center"/>
    </xf>
    <xf numFmtId="0" fontId="13" fillId="2" borderId="5" xfId="8" applyFont="1" applyFill="1" applyBorder="1" applyAlignment="1">
      <alignment horizontal="right" vertical="center"/>
    </xf>
    <xf numFmtId="0" fontId="10" fillId="5" borderId="25" xfId="8" applyFont="1" applyFill="1" applyBorder="1" applyAlignment="1">
      <alignment horizontal="center" vertical="center"/>
    </xf>
    <xf numFmtId="0" fontId="13" fillId="2" borderId="1" xfId="8" applyFont="1" applyFill="1" applyBorder="1" applyAlignment="1">
      <alignment horizontal="right" vertical="center"/>
    </xf>
    <xf numFmtId="0" fontId="13" fillId="2" borderId="3" xfId="8" applyFont="1" applyFill="1" applyBorder="1" applyAlignment="1">
      <alignment horizontal="right" vertical="center"/>
    </xf>
    <xf numFmtId="0" fontId="10" fillId="4" borderId="0" xfId="8" applyFont="1" applyFill="1" applyBorder="1" applyAlignment="1">
      <alignment horizontal="center" vertical="center"/>
    </xf>
    <xf numFmtId="0" fontId="3" fillId="6" borderId="7" xfId="8" applyFont="1" applyFill="1" applyBorder="1" applyAlignment="1">
      <alignment horizontal="center" vertical="center"/>
    </xf>
    <xf numFmtId="0" fontId="3" fillId="6" borderId="0" xfId="8" applyFont="1" applyFill="1" applyBorder="1" applyAlignment="1">
      <alignment horizontal="center" vertical="center"/>
    </xf>
    <xf numFmtId="0" fontId="22" fillId="8" borderId="0" xfId="8" applyFont="1" applyFill="1" applyBorder="1" applyAlignment="1">
      <alignment horizontal="center" vertical="center"/>
    </xf>
    <xf numFmtId="0" fontId="21" fillId="8" borderId="23" xfId="8" quotePrefix="1" applyFont="1" applyFill="1" applyBorder="1" applyAlignment="1">
      <alignment horizontal="center" vertical="center"/>
    </xf>
    <xf numFmtId="0" fontId="21" fillId="8" borderId="24" xfId="8" quotePrefix="1" applyFont="1" applyFill="1" applyBorder="1" applyAlignment="1">
      <alignment horizontal="center" vertical="center"/>
    </xf>
    <xf numFmtId="0" fontId="16" fillId="3" borderId="23" xfId="8" applyFont="1" applyFill="1" applyBorder="1" applyAlignment="1">
      <alignment horizontal="center" vertical="center"/>
    </xf>
    <xf numFmtId="0" fontId="16" fillId="3" borderId="24" xfId="8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center" vertical="center"/>
    </xf>
    <xf numFmtId="0" fontId="21" fillId="8" borderId="23" xfId="0" quotePrefix="1" applyFont="1" applyFill="1" applyBorder="1" applyAlignment="1">
      <alignment horizontal="center" vertical="center"/>
    </xf>
    <xf numFmtId="0" fontId="21" fillId="8" borderId="24" xfId="0" quotePrefix="1" applyFont="1" applyFill="1" applyBorder="1" applyAlignment="1">
      <alignment horizontal="center" vertical="center"/>
    </xf>
    <xf numFmtId="0" fontId="16" fillId="3" borderId="23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right" vertical="center"/>
    </xf>
    <xf numFmtId="0" fontId="13" fillId="2" borderId="4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0" fontId="13" fillId="2" borderId="5" xfId="0" applyFont="1" applyFill="1" applyBorder="1" applyAlignment="1">
      <alignment horizontal="right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10" borderId="25" xfId="8" applyFont="1" applyFill="1" applyBorder="1" applyAlignment="1">
      <alignment horizontal="center" vertical="center"/>
    </xf>
    <xf numFmtId="0" fontId="13" fillId="9" borderId="1" xfId="8" applyFont="1" applyFill="1" applyBorder="1" applyAlignment="1">
      <alignment horizontal="right" vertical="center"/>
    </xf>
    <xf numFmtId="0" fontId="13" fillId="9" borderId="3" xfId="8" applyFont="1" applyFill="1" applyBorder="1" applyAlignment="1">
      <alignment horizontal="right" vertical="center"/>
    </xf>
    <xf numFmtId="0" fontId="13" fillId="9" borderId="7" xfId="8" applyFont="1" applyFill="1" applyBorder="1" applyAlignment="1">
      <alignment horizontal="right" vertical="center"/>
    </xf>
    <xf numFmtId="0" fontId="13" fillId="9" borderId="4" xfId="8" applyFont="1" applyFill="1" applyBorder="1" applyAlignment="1">
      <alignment horizontal="right" vertical="center"/>
    </xf>
    <xf numFmtId="0" fontId="13" fillId="9" borderId="2" xfId="8" applyFont="1" applyFill="1" applyBorder="1" applyAlignment="1">
      <alignment horizontal="right" vertical="center"/>
    </xf>
    <xf numFmtId="0" fontId="13" fillId="9" borderId="5" xfId="8" applyFont="1" applyFill="1" applyBorder="1" applyAlignment="1">
      <alignment horizontal="right" vertical="center"/>
    </xf>
  </cellXfs>
  <cellStyles count="10">
    <cellStyle name="Comma 2" xfId="6"/>
    <cellStyle name="Euro" xfId="1"/>
    <cellStyle name="Normal" xfId="0" builtinId="0"/>
    <cellStyle name="Normal 2" xfId="4"/>
    <cellStyle name="Normal 2 2" xfId="8"/>
    <cellStyle name="Normal 3" xfId="3"/>
    <cellStyle name="Normal 4" xfId="5"/>
    <cellStyle name="Normal 5" xfId="7"/>
    <cellStyle name="normální_a311_5a15" xfId="9"/>
    <cellStyle name="Percent" xfId="2" builtinId="5"/>
  </cellStyles>
  <dxfs count="1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AM58"/>
  <sheetViews>
    <sheetView showGridLines="0" zoomScale="60" zoomScaleNormal="60" workbookViewId="0">
      <selection activeCell="C21" sqref="C21"/>
    </sheetView>
  </sheetViews>
  <sheetFormatPr defaultColWidth="9" defaultRowHeight="15.75" x14ac:dyDescent="0.25"/>
  <cols>
    <col min="1" max="1" width="2.75" style="183" customWidth="1"/>
    <col min="2" max="2" width="18.875" style="183" customWidth="1"/>
    <col min="3" max="3" width="26.625" style="183" customWidth="1"/>
    <col min="4" max="4" width="14.375" style="183" customWidth="1"/>
    <col min="5" max="5" width="3.25" style="183" customWidth="1"/>
    <col min="6" max="9" width="12.375" style="183" customWidth="1"/>
    <col min="10" max="12" width="7" style="183" customWidth="1"/>
    <col min="13" max="13" width="3.25" style="183" customWidth="1"/>
    <col min="14" max="17" width="12.375" style="183" customWidth="1"/>
    <col min="18" max="20" width="7" style="183" customWidth="1"/>
    <col min="21" max="21" width="3" style="183" customWidth="1"/>
    <col min="22" max="25" width="12.375" style="183" customWidth="1"/>
    <col min="26" max="28" width="7" style="183" customWidth="1"/>
    <col min="29" max="16384" width="9" style="183"/>
  </cols>
  <sheetData>
    <row r="1" spans="1:39" s="181" customFormat="1" ht="57.75" customHeight="1" x14ac:dyDescent="0.25">
      <c r="A1" s="175" t="s">
        <v>0</v>
      </c>
      <c r="B1" s="176"/>
      <c r="C1" s="177"/>
      <c r="D1" s="403" t="s">
        <v>32</v>
      </c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178"/>
      <c r="W1" s="178"/>
      <c r="X1" s="178"/>
      <c r="Y1" s="178"/>
      <c r="Z1" s="177"/>
      <c r="AA1" s="177"/>
      <c r="AB1" s="179" t="s">
        <v>0</v>
      </c>
      <c r="AC1" s="180"/>
    </row>
    <row r="2" spans="1:39" s="181" customFormat="1" ht="24.75" customHeight="1" thickBot="1" x14ac:dyDescent="0.3"/>
    <row r="3" spans="1:39" ht="47.25" customHeight="1" thickBot="1" x14ac:dyDescent="0.3">
      <c r="A3" s="404" t="s">
        <v>31</v>
      </c>
      <c r="B3" s="405"/>
      <c r="C3" s="406" t="s">
        <v>121</v>
      </c>
      <c r="D3" s="407"/>
      <c r="E3" s="182"/>
      <c r="H3" s="184"/>
      <c r="L3" s="185" t="s">
        <v>122</v>
      </c>
      <c r="AD3" s="181"/>
      <c r="AE3" s="181"/>
      <c r="AF3" s="181"/>
      <c r="AG3" s="181"/>
      <c r="AH3" s="181"/>
      <c r="AI3" s="181"/>
      <c r="AJ3" s="181"/>
      <c r="AK3" s="181"/>
      <c r="AL3" s="181"/>
      <c r="AM3" s="181"/>
    </row>
    <row r="4" spans="1:39" ht="24.75" customHeight="1" thickBot="1" x14ac:dyDescent="0.3">
      <c r="E4" s="186"/>
      <c r="H4" s="187" t="s">
        <v>28</v>
      </c>
      <c r="I4" s="188"/>
      <c r="J4" s="188"/>
      <c r="K4" s="188"/>
      <c r="L4" s="189" t="s">
        <v>16</v>
      </c>
      <c r="M4" s="188"/>
      <c r="N4" s="188"/>
      <c r="O4" s="188"/>
      <c r="P4" s="187" t="s">
        <v>29</v>
      </c>
      <c r="AD4" s="181"/>
      <c r="AE4" s="181"/>
      <c r="AF4" s="181"/>
      <c r="AG4" s="181"/>
      <c r="AH4" s="181"/>
      <c r="AI4" s="181"/>
      <c r="AJ4" s="181"/>
      <c r="AK4" s="181"/>
      <c r="AL4" s="181"/>
      <c r="AM4" s="181"/>
    </row>
    <row r="5" spans="1:39" ht="47.25" customHeight="1" thickBot="1" x14ac:dyDescent="0.3">
      <c r="A5" s="404" t="s">
        <v>30</v>
      </c>
      <c r="B5" s="405"/>
      <c r="C5" s="406" t="s">
        <v>123</v>
      </c>
      <c r="D5" s="407"/>
      <c r="E5" s="190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1:39" ht="24.75" customHeight="1" x14ac:dyDescent="0.25">
      <c r="A6" s="190"/>
      <c r="B6" s="190"/>
      <c r="E6" s="190"/>
      <c r="F6" s="397" t="s">
        <v>6</v>
      </c>
      <c r="G6" s="397"/>
      <c r="H6" s="397"/>
      <c r="I6" s="397"/>
      <c r="J6" s="397"/>
      <c r="K6" s="397"/>
      <c r="L6" s="397"/>
      <c r="M6" s="191"/>
      <c r="N6" s="397" t="s">
        <v>15</v>
      </c>
      <c r="O6" s="397"/>
      <c r="P6" s="397"/>
      <c r="Q6" s="397"/>
      <c r="R6" s="397"/>
      <c r="S6" s="397"/>
      <c r="T6" s="397"/>
      <c r="U6" s="191"/>
      <c r="V6" s="400" t="s">
        <v>7</v>
      </c>
      <c r="W6" s="400"/>
      <c r="X6" s="400"/>
      <c r="Y6" s="400"/>
      <c r="Z6" s="400"/>
      <c r="AA6" s="400"/>
      <c r="AB6" s="400"/>
      <c r="AC6" s="186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1:39" ht="24.75" customHeight="1" x14ac:dyDescent="0.25">
      <c r="A7" s="192" t="s">
        <v>23</v>
      </c>
      <c r="B7" s="193"/>
      <c r="C7" s="194"/>
      <c r="D7" s="195" t="str">
        <f ca="1">IF(MONTH(TODAY())&lt;6,"( in Nov-Dec   -   March. Forecast )","( in May-Jun   -   Nov. Forecast )")</f>
        <v>( in May-Jun   -   Nov. Forecast )</v>
      </c>
      <c r="E7" s="196"/>
      <c r="F7" s="398">
        <v>2015</v>
      </c>
      <c r="G7" s="393">
        <f>+F7+1</f>
        <v>2016</v>
      </c>
      <c r="H7" s="393">
        <f>+G7+1</f>
        <v>2017</v>
      </c>
      <c r="I7" s="395">
        <f>+H7+1</f>
        <v>2018</v>
      </c>
      <c r="J7" s="197"/>
      <c r="K7" s="198" t="s">
        <v>11</v>
      </c>
      <c r="L7" s="199"/>
      <c r="N7" s="401"/>
      <c r="O7" s="401"/>
      <c r="P7" s="401"/>
      <c r="Q7" s="401"/>
      <c r="R7" s="200"/>
      <c r="S7" s="201"/>
      <c r="T7" s="200"/>
      <c r="U7" s="202"/>
      <c r="V7" s="402"/>
      <c r="W7" s="402"/>
      <c r="X7" s="402"/>
      <c r="Y7" s="402"/>
      <c r="Z7" s="200"/>
      <c r="AA7" s="201"/>
      <c r="AB7" s="200"/>
      <c r="AC7" s="203"/>
      <c r="AD7" s="181"/>
      <c r="AE7" s="181"/>
      <c r="AF7" s="181"/>
      <c r="AG7" s="181"/>
      <c r="AH7" s="181"/>
      <c r="AI7" s="181"/>
      <c r="AJ7" s="181"/>
      <c r="AK7" s="181"/>
      <c r="AL7" s="181"/>
      <c r="AM7" s="181"/>
    </row>
    <row r="8" spans="1:39" ht="24.75" customHeight="1" x14ac:dyDescent="0.25">
      <c r="A8" s="204"/>
      <c r="B8" s="193"/>
      <c r="C8" s="194"/>
      <c r="D8" s="205" t="s">
        <v>24</v>
      </c>
      <c r="E8" s="196"/>
      <c r="F8" s="399"/>
      <c r="G8" s="394"/>
      <c r="H8" s="394"/>
      <c r="I8" s="396"/>
      <c r="J8" s="206" t="str">
        <f>G7&amp;"/"&amp;RIGHT(F7,2)</f>
        <v>2016/15</v>
      </c>
      <c r="K8" s="207" t="str">
        <f>H7&amp;"/"&amp;RIGHT(G7,2)</f>
        <v>2017/16</v>
      </c>
      <c r="L8" s="208" t="str">
        <f>I7&amp;"/"&amp;RIGHT(H7,2)</f>
        <v>2018/17</v>
      </c>
      <c r="N8" s="402"/>
      <c r="O8" s="402"/>
      <c r="P8" s="402"/>
      <c r="Q8" s="402"/>
      <c r="R8" s="209"/>
      <c r="S8" s="209"/>
      <c r="T8" s="209"/>
      <c r="U8" s="202"/>
      <c r="V8" s="402"/>
      <c r="W8" s="402"/>
      <c r="X8" s="402"/>
      <c r="Y8" s="402"/>
      <c r="Z8" s="209"/>
      <c r="AA8" s="209"/>
      <c r="AB8" s="209"/>
      <c r="AC8" s="202"/>
      <c r="AD8" s="181"/>
      <c r="AE8" s="181"/>
      <c r="AF8" s="181"/>
      <c r="AG8" s="181"/>
      <c r="AH8" s="181"/>
      <c r="AI8" s="181"/>
      <c r="AJ8" s="181"/>
      <c r="AK8" s="181"/>
      <c r="AL8" s="181"/>
      <c r="AM8" s="181"/>
    </row>
    <row r="9" spans="1:39" ht="24.75" customHeight="1" x14ac:dyDescent="0.25">
      <c r="A9" s="190"/>
      <c r="B9" s="210" t="s">
        <v>18</v>
      </c>
      <c r="C9" s="190"/>
      <c r="D9" s="190"/>
      <c r="E9" s="190"/>
      <c r="F9" s="212">
        <v>2531.1</v>
      </c>
      <c r="G9" s="212">
        <v>2554.8000000000002</v>
      </c>
      <c r="H9" s="308">
        <v>2452.3000000000002</v>
      </c>
      <c r="I9" s="308">
        <v>2448</v>
      </c>
      <c r="J9" s="56">
        <f t="shared" ref="J9:L12" si="0">IF(OR(G9=0,F9=0),"",G9/F9-1)</f>
        <v>9.363517838094193E-3</v>
      </c>
      <c r="K9" s="57">
        <f t="shared" si="0"/>
        <v>-4.0120557382182565E-2</v>
      </c>
      <c r="L9" s="58">
        <f t="shared" si="0"/>
        <v>-1.7534559393223015E-3</v>
      </c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181"/>
      <c r="AE9" s="181"/>
      <c r="AF9" s="181"/>
      <c r="AG9" s="181"/>
      <c r="AH9" s="181"/>
      <c r="AI9" s="181"/>
      <c r="AJ9" s="181"/>
      <c r="AK9" s="181"/>
      <c r="AL9" s="181"/>
      <c r="AM9" s="181"/>
    </row>
    <row r="10" spans="1:39" ht="24.75" customHeight="1" x14ac:dyDescent="0.25">
      <c r="A10" s="190"/>
      <c r="C10" s="213" t="s">
        <v>33</v>
      </c>
      <c r="D10" s="186"/>
      <c r="E10" s="190"/>
      <c r="F10" s="215">
        <v>524</v>
      </c>
      <c r="G10" s="215">
        <v>536.5</v>
      </c>
      <c r="H10" s="309">
        <v>521.20000000000005</v>
      </c>
      <c r="I10" s="309">
        <v>520</v>
      </c>
      <c r="J10" s="59">
        <f t="shared" si="0"/>
        <v>2.385496183206115E-2</v>
      </c>
      <c r="K10" s="60">
        <f t="shared" si="0"/>
        <v>-2.8518173345759457E-2</v>
      </c>
      <c r="L10" s="61">
        <f t="shared" si="0"/>
        <v>-2.3023791250960102E-3</v>
      </c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</row>
    <row r="11" spans="1:39" ht="24.75" customHeight="1" x14ac:dyDescent="0.25">
      <c r="A11" s="190"/>
      <c r="C11" s="216" t="s">
        <v>34</v>
      </c>
      <c r="D11" s="216"/>
      <c r="E11" s="190"/>
      <c r="F11" s="215">
        <v>463.4</v>
      </c>
      <c r="G11" s="215">
        <v>469.1</v>
      </c>
      <c r="H11" s="309">
        <v>448.5</v>
      </c>
      <c r="I11" s="309">
        <v>445</v>
      </c>
      <c r="J11" s="59">
        <f t="shared" si="0"/>
        <v>1.2300388433319043E-2</v>
      </c>
      <c r="K11" s="60">
        <f t="shared" si="0"/>
        <v>-4.3913877638030341E-2</v>
      </c>
      <c r="L11" s="61">
        <f t="shared" si="0"/>
        <v>-7.8037904124860225E-3</v>
      </c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</row>
    <row r="12" spans="1:39" ht="24.75" customHeight="1" x14ac:dyDescent="0.25">
      <c r="A12" s="190"/>
      <c r="C12" s="217" t="s">
        <v>38</v>
      </c>
      <c r="D12" s="186"/>
      <c r="E12" s="190"/>
      <c r="F12" s="218">
        <f>+F10+F11</f>
        <v>987.4</v>
      </c>
      <c r="G12" s="219">
        <f>+G10+G11</f>
        <v>1005.6</v>
      </c>
      <c r="H12" s="219">
        <f>+H10+H11</f>
        <v>969.7</v>
      </c>
      <c r="I12" s="237">
        <f>+I10+I11</f>
        <v>965</v>
      </c>
      <c r="J12" s="59">
        <f t="shared" si="0"/>
        <v>1.8432246303423216E-2</v>
      </c>
      <c r="K12" s="60">
        <f t="shared" si="0"/>
        <v>-3.5700079554494835E-2</v>
      </c>
      <c r="L12" s="61">
        <f t="shared" si="0"/>
        <v>-4.8468598535630347E-3</v>
      </c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</row>
    <row r="13" spans="1:39" ht="24.75" customHeight="1" x14ac:dyDescent="0.25">
      <c r="A13" s="220" t="s">
        <v>8</v>
      </c>
      <c r="B13" s="193"/>
      <c r="C13" s="193"/>
      <c r="D13" s="193"/>
      <c r="E13" s="193"/>
      <c r="F13" s="398">
        <f>$F$7</f>
        <v>2015</v>
      </c>
      <c r="G13" s="393">
        <f>+F13+1</f>
        <v>2016</v>
      </c>
      <c r="H13" s="393">
        <f>+G13+1</f>
        <v>2017</v>
      </c>
      <c r="I13" s="395">
        <f>+H13+1</f>
        <v>2018</v>
      </c>
      <c r="J13" s="197"/>
      <c r="K13" s="198" t="s">
        <v>11</v>
      </c>
      <c r="L13" s="199"/>
      <c r="M13" s="221"/>
      <c r="N13" s="398">
        <f>$F$7</f>
        <v>2015</v>
      </c>
      <c r="O13" s="393">
        <f>+N13+1</f>
        <v>2016</v>
      </c>
      <c r="P13" s="393">
        <f>+O13+1</f>
        <v>2017</v>
      </c>
      <c r="Q13" s="395">
        <f>+P13+1</f>
        <v>2018</v>
      </c>
      <c r="R13" s="197"/>
      <c r="S13" s="198" t="s">
        <v>11</v>
      </c>
      <c r="T13" s="199"/>
      <c r="U13" s="221"/>
      <c r="V13" s="398">
        <f>$F$7</f>
        <v>2015</v>
      </c>
      <c r="W13" s="393">
        <f>+V13+1</f>
        <v>2016</v>
      </c>
      <c r="X13" s="393">
        <f>+W13+1</f>
        <v>2017</v>
      </c>
      <c r="Y13" s="395">
        <f>+X13+1</f>
        <v>2018</v>
      </c>
      <c r="Z13" s="197"/>
      <c r="AA13" s="198" t="s">
        <v>11</v>
      </c>
      <c r="AB13" s="199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</row>
    <row r="14" spans="1:39" ht="24.75" customHeight="1" x14ac:dyDescent="0.25">
      <c r="A14" s="222"/>
      <c r="B14" s="193"/>
      <c r="C14" s="193"/>
      <c r="D14" s="223" t="s">
        <v>25</v>
      </c>
      <c r="E14" s="193"/>
      <c r="F14" s="399"/>
      <c r="G14" s="394"/>
      <c r="H14" s="394"/>
      <c r="I14" s="396"/>
      <c r="J14" s="206" t="str">
        <f>G13&amp;"/"&amp;RIGHT(F13,2)</f>
        <v>2016/15</v>
      </c>
      <c r="K14" s="207" t="str">
        <f>H13&amp;"/"&amp;RIGHT(G13,2)</f>
        <v>2017/16</v>
      </c>
      <c r="L14" s="208" t="str">
        <f>I13&amp;"/"&amp;RIGHT(H13,2)</f>
        <v>2018/17</v>
      </c>
      <c r="M14" s="221"/>
      <c r="N14" s="399"/>
      <c r="O14" s="394"/>
      <c r="P14" s="394"/>
      <c r="Q14" s="396"/>
      <c r="R14" s="206" t="str">
        <f>O13&amp;"/"&amp;RIGHT(N13,2)</f>
        <v>2016/15</v>
      </c>
      <c r="S14" s="207" t="str">
        <f>P13&amp;"/"&amp;RIGHT(O13,2)</f>
        <v>2017/16</v>
      </c>
      <c r="T14" s="208" t="str">
        <f>Q13&amp;"/"&amp;RIGHT(P13,2)</f>
        <v>2018/17</v>
      </c>
      <c r="U14" s="221"/>
      <c r="V14" s="399"/>
      <c r="W14" s="394"/>
      <c r="X14" s="394"/>
      <c r="Y14" s="396"/>
      <c r="Z14" s="206" t="str">
        <f>W13&amp;"/"&amp;RIGHT(V13,2)</f>
        <v>2016/15</v>
      </c>
      <c r="AA14" s="207" t="str">
        <f>X13&amp;"/"&amp;RIGHT(W13,2)</f>
        <v>2017/16</v>
      </c>
      <c r="AB14" s="208" t="str">
        <f>Y13&amp;"/"&amp;RIGHT(X13,2)</f>
        <v>2018/17</v>
      </c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</row>
    <row r="15" spans="1:39" ht="24.75" customHeight="1" x14ac:dyDescent="0.25">
      <c r="A15" s="224"/>
      <c r="B15" s="224"/>
      <c r="C15" s="186" t="s">
        <v>1</v>
      </c>
      <c r="D15" s="186"/>
      <c r="E15" s="190"/>
      <c r="F15" s="226">
        <v>107.4</v>
      </c>
      <c r="G15" s="226">
        <v>105.3</v>
      </c>
      <c r="H15" s="257">
        <v>107.8</v>
      </c>
      <c r="I15" s="257">
        <v>107</v>
      </c>
      <c r="J15" s="62">
        <f t="shared" ref="J15:L21" si="1">IF(OR(G15=0,F15=0),"",G15/F15-1)</f>
        <v>-1.9553072625698387E-2</v>
      </c>
      <c r="K15" s="63">
        <f t="shared" si="1"/>
        <v>2.3741690408357163E-2</v>
      </c>
      <c r="L15" s="64">
        <f t="shared" si="1"/>
        <v>-7.4211502782931538E-3</v>
      </c>
      <c r="N15" s="226">
        <v>22.7</v>
      </c>
      <c r="O15" s="226">
        <v>24.4</v>
      </c>
      <c r="P15" s="257">
        <v>24</v>
      </c>
      <c r="Q15" s="257">
        <v>24</v>
      </c>
      <c r="R15" s="62">
        <f t="shared" ref="R15:T21" si="2">IF(OR(O15=0,N15=0),"",O15/N15-1)</f>
        <v>7.4889867841409608E-2</v>
      </c>
      <c r="S15" s="63">
        <f t="shared" si="2"/>
        <v>-1.6393442622950727E-2</v>
      </c>
      <c r="T15" s="64">
        <f t="shared" si="2"/>
        <v>0</v>
      </c>
      <c r="V15" s="227">
        <f>+F15+N15</f>
        <v>130.1</v>
      </c>
      <c r="W15" s="228">
        <f t="shared" ref="W15:Y21" si="3">+G15+O15</f>
        <v>129.69999999999999</v>
      </c>
      <c r="X15" s="228">
        <f t="shared" si="3"/>
        <v>131.80000000000001</v>
      </c>
      <c r="Y15" s="229">
        <f t="shared" si="3"/>
        <v>131</v>
      </c>
      <c r="Z15" s="59">
        <f t="shared" ref="Z15:AB21" si="4">IF(OR(W15=0,V15=0),"",W15/V15-1)</f>
        <v>-3.0745580322828481E-3</v>
      </c>
      <c r="AA15" s="60">
        <f t="shared" si="4"/>
        <v>1.6191210485736462E-2</v>
      </c>
      <c r="AB15" s="61">
        <f t="shared" si="4"/>
        <v>-6.0698027314113334E-3</v>
      </c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</row>
    <row r="16" spans="1:39" ht="24.75" customHeight="1" x14ac:dyDescent="0.25">
      <c r="A16" s="224"/>
      <c r="B16" s="224"/>
      <c r="C16" s="230" t="s">
        <v>2</v>
      </c>
      <c r="D16" s="230"/>
      <c r="E16" s="190"/>
      <c r="F16" s="232">
        <v>110</v>
      </c>
      <c r="G16" s="232">
        <v>109.9</v>
      </c>
      <c r="H16" s="312">
        <v>107</v>
      </c>
      <c r="I16" s="312">
        <v>107</v>
      </c>
      <c r="J16" s="65">
        <f t="shared" si="1"/>
        <v>-9.0909090909085943E-4</v>
      </c>
      <c r="K16" s="66">
        <f t="shared" si="1"/>
        <v>-2.6387625113739821E-2</v>
      </c>
      <c r="L16" s="67">
        <f t="shared" si="1"/>
        <v>0</v>
      </c>
      <c r="N16" s="232">
        <v>23.5</v>
      </c>
      <c r="O16" s="232">
        <v>25.1</v>
      </c>
      <c r="P16" s="312">
        <v>26</v>
      </c>
      <c r="Q16" s="312">
        <v>25</v>
      </c>
      <c r="R16" s="65">
        <f t="shared" si="2"/>
        <v>6.8085106382978822E-2</v>
      </c>
      <c r="S16" s="66">
        <f t="shared" si="2"/>
        <v>3.5856573705179251E-2</v>
      </c>
      <c r="T16" s="67">
        <f t="shared" si="2"/>
        <v>-3.8461538461538436E-2</v>
      </c>
      <c r="V16" s="233">
        <f t="shared" ref="V16:V21" si="5">+F16+N16</f>
        <v>133.5</v>
      </c>
      <c r="W16" s="234">
        <f t="shared" si="3"/>
        <v>135</v>
      </c>
      <c r="X16" s="234">
        <f t="shared" si="3"/>
        <v>133</v>
      </c>
      <c r="Y16" s="235">
        <f t="shared" si="3"/>
        <v>132</v>
      </c>
      <c r="Z16" s="68">
        <f t="shared" si="4"/>
        <v>1.1235955056179803E-2</v>
      </c>
      <c r="AA16" s="69">
        <f t="shared" si="4"/>
        <v>-1.4814814814814836E-2</v>
      </c>
      <c r="AB16" s="70">
        <f t="shared" si="4"/>
        <v>-7.5187969924812581E-3</v>
      </c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</row>
    <row r="17" spans="1:39" ht="24.75" customHeight="1" x14ac:dyDescent="0.25">
      <c r="A17" s="224"/>
      <c r="B17" s="224"/>
      <c r="C17" s="236" t="s">
        <v>3</v>
      </c>
      <c r="D17" s="186"/>
      <c r="E17" s="190"/>
      <c r="F17" s="218">
        <f>+F15+F16</f>
        <v>217.4</v>
      </c>
      <c r="G17" s="219">
        <f>+G15+G16</f>
        <v>215.2</v>
      </c>
      <c r="H17" s="219">
        <f>+H15+H16</f>
        <v>214.8</v>
      </c>
      <c r="I17" s="237">
        <v>214.8</v>
      </c>
      <c r="J17" s="68">
        <f t="shared" si="1"/>
        <v>-1.0119595216191435E-2</v>
      </c>
      <c r="K17" s="69">
        <f t="shared" si="1"/>
        <v>-1.8587360594793934E-3</v>
      </c>
      <c r="L17" s="70">
        <f t="shared" si="1"/>
        <v>0</v>
      </c>
      <c r="M17" s="191">
        <f>+M15+M16</f>
        <v>0</v>
      </c>
      <c r="N17" s="218">
        <f>+N15+N16</f>
        <v>46.2</v>
      </c>
      <c r="O17" s="219">
        <f>+O15+O16</f>
        <v>49.5</v>
      </c>
      <c r="P17" s="219">
        <f>+P15+P16</f>
        <v>50</v>
      </c>
      <c r="Q17" s="237">
        <f>+Q15+Q16</f>
        <v>49</v>
      </c>
      <c r="R17" s="68">
        <f t="shared" si="2"/>
        <v>7.1428571428571397E-2</v>
      </c>
      <c r="S17" s="69">
        <f t="shared" si="2"/>
        <v>1.0101010101010166E-2</v>
      </c>
      <c r="T17" s="70">
        <f t="shared" si="2"/>
        <v>-2.0000000000000018E-2</v>
      </c>
      <c r="U17" s="191"/>
      <c r="V17" s="218">
        <f>+V15+V16</f>
        <v>263.60000000000002</v>
      </c>
      <c r="W17" s="219">
        <f>+W15+W16</f>
        <v>264.7</v>
      </c>
      <c r="X17" s="219">
        <f>+X15+X16</f>
        <v>264.8</v>
      </c>
      <c r="Y17" s="237">
        <f>+Y15+Y16</f>
        <v>263</v>
      </c>
      <c r="Z17" s="68">
        <f t="shared" si="4"/>
        <v>4.1729893778450489E-3</v>
      </c>
      <c r="AA17" s="69">
        <f t="shared" si="4"/>
        <v>3.7778617302608453E-4</v>
      </c>
      <c r="AB17" s="70">
        <f t="shared" si="4"/>
        <v>-6.7975830815710792E-3</v>
      </c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</row>
    <row r="18" spans="1:39" ht="24.75" customHeight="1" x14ac:dyDescent="0.25">
      <c r="A18" s="190"/>
      <c r="B18" s="224"/>
      <c r="C18" s="213" t="s">
        <v>9</v>
      </c>
      <c r="D18" s="238" t="s">
        <v>39</v>
      </c>
      <c r="E18" s="190"/>
      <c r="F18" s="215">
        <v>57.3</v>
      </c>
      <c r="G18" s="215">
        <v>50</v>
      </c>
      <c r="H18" s="309">
        <v>35</v>
      </c>
      <c r="I18" s="309">
        <v>35</v>
      </c>
      <c r="J18" s="59">
        <f t="shared" si="1"/>
        <v>-0.12739965095986039</v>
      </c>
      <c r="K18" s="60">
        <f t="shared" si="1"/>
        <v>-0.30000000000000004</v>
      </c>
      <c r="L18" s="61">
        <f t="shared" si="1"/>
        <v>0</v>
      </c>
      <c r="N18" s="215">
        <v>14.2</v>
      </c>
      <c r="O18" s="215">
        <v>13</v>
      </c>
      <c r="P18" s="309">
        <v>14</v>
      </c>
      <c r="Q18" s="309">
        <v>13</v>
      </c>
      <c r="R18" s="59">
        <f t="shared" si="2"/>
        <v>-8.4507042253521125E-2</v>
      </c>
      <c r="S18" s="60">
        <f t="shared" si="2"/>
        <v>7.6923076923076872E-2</v>
      </c>
      <c r="T18" s="61">
        <f t="shared" si="2"/>
        <v>-7.1428571428571397E-2</v>
      </c>
      <c r="V18" s="246">
        <f t="shared" si="5"/>
        <v>71.5</v>
      </c>
      <c r="W18" s="247">
        <f t="shared" si="3"/>
        <v>63</v>
      </c>
      <c r="X18" s="247">
        <f t="shared" si="3"/>
        <v>49</v>
      </c>
      <c r="Y18" s="248">
        <f t="shared" si="3"/>
        <v>48</v>
      </c>
      <c r="Z18" s="59">
        <f t="shared" si="4"/>
        <v>-0.11888111888111885</v>
      </c>
      <c r="AA18" s="60">
        <f t="shared" si="4"/>
        <v>-0.22222222222222221</v>
      </c>
      <c r="AB18" s="61">
        <f t="shared" si="4"/>
        <v>-2.0408163265306145E-2</v>
      </c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</row>
    <row r="19" spans="1:39" ht="24.75" customHeight="1" x14ac:dyDescent="0.25">
      <c r="A19" s="190"/>
      <c r="B19" s="224"/>
      <c r="C19" s="250"/>
      <c r="D19" s="238" t="s">
        <v>40</v>
      </c>
      <c r="E19" s="190"/>
      <c r="F19" s="259">
        <v>0</v>
      </c>
      <c r="G19" s="259">
        <v>0</v>
      </c>
      <c r="H19" s="260">
        <v>0</v>
      </c>
      <c r="I19" s="260">
        <v>0</v>
      </c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259"/>
      <c r="O19" s="259"/>
      <c r="P19" s="260"/>
      <c r="Q19" s="260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254">
        <f t="shared" si="5"/>
        <v>0</v>
      </c>
      <c r="W19" s="255">
        <f t="shared" si="3"/>
        <v>0</v>
      </c>
      <c r="X19" s="255">
        <f t="shared" si="3"/>
        <v>0</v>
      </c>
      <c r="Y19" s="256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</row>
    <row r="20" spans="1:39" ht="24.75" customHeight="1" x14ac:dyDescent="0.25">
      <c r="A20" s="190"/>
      <c r="B20" s="224"/>
      <c r="C20" s="213" t="s">
        <v>10</v>
      </c>
      <c r="D20" s="238" t="s">
        <v>39</v>
      </c>
      <c r="E20" s="190"/>
      <c r="F20" s="215">
        <v>63</v>
      </c>
      <c r="G20" s="215">
        <v>44.3</v>
      </c>
      <c r="H20" s="309">
        <v>38</v>
      </c>
      <c r="I20" s="309">
        <v>37</v>
      </c>
      <c r="J20" s="59">
        <f t="shared" si="1"/>
        <v>-0.29682539682539688</v>
      </c>
      <c r="K20" s="60">
        <f t="shared" si="1"/>
        <v>-0.14221218961625282</v>
      </c>
      <c r="L20" s="61">
        <f t="shared" si="1"/>
        <v>-2.6315789473684181E-2</v>
      </c>
      <c r="N20" s="215">
        <v>3.3</v>
      </c>
      <c r="O20" s="215">
        <v>5.2</v>
      </c>
      <c r="P20" s="309">
        <v>4</v>
      </c>
      <c r="Q20" s="309">
        <v>4</v>
      </c>
      <c r="R20" s="59">
        <f t="shared" si="2"/>
        <v>0.57575757575757591</v>
      </c>
      <c r="S20" s="60">
        <f t="shared" si="2"/>
        <v>-0.23076923076923084</v>
      </c>
      <c r="T20" s="61">
        <f t="shared" si="2"/>
        <v>0</v>
      </c>
      <c r="V20" s="246">
        <f t="shared" si="5"/>
        <v>66.3</v>
      </c>
      <c r="W20" s="247">
        <f t="shared" si="3"/>
        <v>49.5</v>
      </c>
      <c r="X20" s="247">
        <f t="shared" si="3"/>
        <v>42</v>
      </c>
      <c r="Y20" s="248">
        <f t="shared" si="3"/>
        <v>41</v>
      </c>
      <c r="Z20" s="59">
        <f t="shared" si="4"/>
        <v>-0.25339366515837103</v>
      </c>
      <c r="AA20" s="60">
        <f t="shared" si="4"/>
        <v>-0.15151515151515149</v>
      </c>
      <c r="AB20" s="61">
        <f t="shared" si="4"/>
        <v>-2.3809523809523836E-2</v>
      </c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</row>
    <row r="21" spans="1:39" ht="24.75" customHeight="1" x14ac:dyDescent="0.25">
      <c r="A21" s="190"/>
      <c r="B21" s="224"/>
      <c r="C21" s="213"/>
      <c r="D21" s="238" t="s">
        <v>40</v>
      </c>
      <c r="E21" s="190"/>
      <c r="F21" s="259">
        <v>1</v>
      </c>
      <c r="G21" s="259">
        <v>0</v>
      </c>
      <c r="H21" s="260">
        <v>0</v>
      </c>
      <c r="I21" s="260">
        <v>0</v>
      </c>
      <c r="J21" s="68" t="str">
        <f t="shared" si="1"/>
        <v/>
      </c>
      <c r="K21" s="69" t="str">
        <f t="shared" si="1"/>
        <v/>
      </c>
      <c r="L21" s="70" t="str">
        <f t="shared" si="1"/>
        <v/>
      </c>
      <c r="N21" s="259"/>
      <c r="O21" s="259"/>
      <c r="P21" s="260"/>
      <c r="Q21" s="260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254">
        <f t="shared" si="5"/>
        <v>1</v>
      </c>
      <c r="W21" s="255">
        <f t="shared" si="3"/>
        <v>0</v>
      </c>
      <c r="X21" s="255">
        <f t="shared" si="3"/>
        <v>0</v>
      </c>
      <c r="Y21" s="256">
        <f t="shared" si="3"/>
        <v>0</v>
      </c>
      <c r="Z21" s="68" t="str">
        <f t="shared" si="4"/>
        <v/>
      </c>
      <c r="AA21" s="69" t="str">
        <f t="shared" si="4"/>
        <v/>
      </c>
      <c r="AB21" s="70" t="str">
        <f t="shared" si="4"/>
        <v/>
      </c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</row>
    <row r="22" spans="1:39" ht="24.75" customHeight="1" x14ac:dyDescent="0.25">
      <c r="A22" s="192" t="s">
        <v>14</v>
      </c>
      <c r="B22" s="193"/>
      <c r="C22" s="194"/>
      <c r="D22" s="194"/>
      <c r="E22" s="193"/>
      <c r="F22" s="398">
        <f>$F$7</f>
        <v>2015</v>
      </c>
      <c r="G22" s="393">
        <f>+F22+1</f>
        <v>2016</v>
      </c>
      <c r="H22" s="393">
        <f>+G22+1</f>
        <v>2017</v>
      </c>
      <c r="I22" s="395">
        <f>+H22+1</f>
        <v>2018</v>
      </c>
      <c r="J22" s="197"/>
      <c r="K22" s="198" t="s">
        <v>11</v>
      </c>
      <c r="L22" s="199"/>
      <c r="M22" s="221"/>
      <c r="N22" s="398">
        <f>$F$7</f>
        <v>2015</v>
      </c>
      <c r="O22" s="393">
        <f>+N22+1</f>
        <v>2016</v>
      </c>
      <c r="P22" s="393">
        <f>+O22+1</f>
        <v>2017</v>
      </c>
      <c r="Q22" s="395">
        <f>+P22+1</f>
        <v>2018</v>
      </c>
      <c r="R22" s="197"/>
      <c r="S22" s="198" t="s">
        <v>11</v>
      </c>
      <c r="T22" s="199"/>
      <c r="U22" s="221"/>
      <c r="V22" s="398">
        <f>$F$7</f>
        <v>2015</v>
      </c>
      <c r="W22" s="393">
        <f>+V22+1</f>
        <v>2016</v>
      </c>
      <c r="X22" s="393">
        <f>+W22+1</f>
        <v>2017</v>
      </c>
      <c r="Y22" s="395">
        <f>+X22+1</f>
        <v>2018</v>
      </c>
      <c r="Z22" s="197"/>
      <c r="AA22" s="198" t="s">
        <v>11</v>
      </c>
      <c r="AB22" s="199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</row>
    <row r="23" spans="1:39" ht="24.75" customHeight="1" x14ac:dyDescent="0.25">
      <c r="A23" s="204"/>
      <c r="B23" s="193"/>
      <c r="C23" s="194"/>
      <c r="D23" s="223" t="s">
        <v>26</v>
      </c>
      <c r="E23" s="193"/>
      <c r="F23" s="399"/>
      <c r="G23" s="394"/>
      <c r="H23" s="394"/>
      <c r="I23" s="396"/>
      <c r="J23" s="206" t="str">
        <f>G22&amp;"/"&amp;RIGHT(F22,2)</f>
        <v>2016/15</v>
      </c>
      <c r="K23" s="207" t="str">
        <f>H22&amp;"/"&amp;RIGHT(G22,2)</f>
        <v>2017/16</v>
      </c>
      <c r="L23" s="208" t="str">
        <f>I22&amp;"/"&amp;RIGHT(H22,2)</f>
        <v>2018/17</v>
      </c>
      <c r="M23" s="221"/>
      <c r="N23" s="399"/>
      <c r="O23" s="394"/>
      <c r="P23" s="394"/>
      <c r="Q23" s="396"/>
      <c r="R23" s="206" t="str">
        <f>O22&amp;"/"&amp;RIGHT(N22,2)</f>
        <v>2016/15</v>
      </c>
      <c r="S23" s="207" t="str">
        <f>P22&amp;"/"&amp;RIGHT(O22,2)</f>
        <v>2017/16</v>
      </c>
      <c r="T23" s="208" t="str">
        <f>Q22&amp;"/"&amp;RIGHT(P22,2)</f>
        <v>2018/17</v>
      </c>
      <c r="U23" s="221"/>
      <c r="V23" s="399"/>
      <c r="W23" s="394"/>
      <c r="X23" s="394"/>
      <c r="Y23" s="396"/>
      <c r="Z23" s="206" t="str">
        <f>W22&amp;"/"&amp;RIGHT(V22,2)</f>
        <v>2016/15</v>
      </c>
      <c r="AA23" s="207" t="str">
        <f>X22&amp;"/"&amp;RIGHT(W22,2)</f>
        <v>2017/16</v>
      </c>
      <c r="AB23" s="208" t="str">
        <f>Y22&amp;"/"&amp;RIGHT(X22,2)</f>
        <v>2018/17</v>
      </c>
      <c r="AC23" s="186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</row>
    <row r="24" spans="1:39" ht="24.75" customHeight="1" x14ac:dyDescent="0.25">
      <c r="A24" s="224"/>
      <c r="B24" s="224"/>
      <c r="C24" s="186" t="s">
        <v>1</v>
      </c>
      <c r="D24" s="186"/>
      <c r="E24" s="190"/>
      <c r="F24" s="225">
        <v>104.5</v>
      </c>
      <c r="G24" s="226">
        <v>105.4</v>
      </c>
      <c r="H24" s="226">
        <v>106</v>
      </c>
      <c r="I24" s="257"/>
      <c r="J24" s="59">
        <f t="shared" ref="J24:L30" si="6">IF(OR(G24=0,F24=0),"",G24/F24-1)</f>
        <v>8.612440191387627E-3</v>
      </c>
      <c r="K24" s="60">
        <f t="shared" si="6"/>
        <v>5.6925996204932883E-3</v>
      </c>
      <c r="L24" s="61" t="str">
        <f t="shared" si="6"/>
        <v/>
      </c>
      <c r="N24" s="225">
        <v>27.6</v>
      </c>
      <c r="O24" s="226">
        <v>29.8</v>
      </c>
      <c r="P24" s="226">
        <v>30.9</v>
      </c>
      <c r="Q24" s="257">
        <v>28</v>
      </c>
      <c r="R24" s="59">
        <f t="shared" ref="R24:T30" si="7">IF(OR(O24=0,N24=0),"",O24/N24-1)</f>
        <v>7.9710144927536142E-2</v>
      </c>
      <c r="S24" s="60">
        <f t="shared" si="7"/>
        <v>3.691275167785224E-2</v>
      </c>
      <c r="T24" s="61">
        <f t="shared" si="7"/>
        <v>-9.3851132686084138E-2</v>
      </c>
      <c r="V24" s="227">
        <f t="shared" ref="V24:Y30" si="8">+F24+N24</f>
        <v>132.1</v>
      </c>
      <c r="W24" s="228">
        <f t="shared" si="8"/>
        <v>135.20000000000002</v>
      </c>
      <c r="X24" s="228">
        <f t="shared" si="8"/>
        <v>136.9</v>
      </c>
      <c r="Y24" s="229">
        <f t="shared" si="8"/>
        <v>28</v>
      </c>
      <c r="Z24" s="59">
        <f t="shared" ref="Z24:AB30" si="9">IF(OR(W24=0,V24=0),"",W24/V24-1)</f>
        <v>2.3467070401211432E-2</v>
      </c>
      <c r="AA24" s="60">
        <f t="shared" si="9"/>
        <v>1.257396449704129E-2</v>
      </c>
      <c r="AB24" s="61">
        <f t="shared" si="9"/>
        <v>-0.7954711468224982</v>
      </c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</row>
    <row r="25" spans="1:39" ht="24.75" customHeight="1" x14ac:dyDescent="0.25">
      <c r="A25" s="224"/>
      <c r="B25" s="224"/>
      <c r="C25" s="230" t="s">
        <v>2</v>
      </c>
      <c r="D25" s="230"/>
      <c r="E25" s="190"/>
      <c r="F25" s="231">
        <v>106.2</v>
      </c>
      <c r="G25" s="232">
        <v>109.5</v>
      </c>
      <c r="H25" s="232">
        <v>105.5</v>
      </c>
      <c r="I25" s="312"/>
      <c r="J25" s="68">
        <f t="shared" si="6"/>
        <v>3.1073446327683607E-2</v>
      </c>
      <c r="K25" s="69">
        <f t="shared" si="6"/>
        <v>-3.6529680365296802E-2</v>
      </c>
      <c r="L25" s="70" t="str">
        <f t="shared" si="6"/>
        <v/>
      </c>
      <c r="N25" s="231">
        <v>29.5</v>
      </c>
      <c r="O25" s="232">
        <v>30</v>
      </c>
      <c r="P25" s="232">
        <v>29.1</v>
      </c>
      <c r="Q25" s="312">
        <v>30</v>
      </c>
      <c r="R25" s="68">
        <f t="shared" si="7"/>
        <v>1.6949152542372836E-2</v>
      </c>
      <c r="S25" s="69">
        <f t="shared" si="7"/>
        <v>-2.9999999999999916E-2</v>
      </c>
      <c r="T25" s="70">
        <f t="shared" si="7"/>
        <v>3.0927835051546282E-2</v>
      </c>
      <c r="V25" s="233">
        <f t="shared" si="8"/>
        <v>135.69999999999999</v>
      </c>
      <c r="W25" s="234">
        <f t="shared" si="8"/>
        <v>139.5</v>
      </c>
      <c r="X25" s="234">
        <f t="shared" si="8"/>
        <v>134.6</v>
      </c>
      <c r="Y25" s="235">
        <f t="shared" si="8"/>
        <v>30</v>
      </c>
      <c r="Z25" s="68">
        <f t="shared" si="9"/>
        <v>2.8002947678703149E-2</v>
      </c>
      <c r="AA25" s="69">
        <f t="shared" si="9"/>
        <v>-3.51254480286739E-2</v>
      </c>
      <c r="AB25" s="70">
        <f t="shared" si="9"/>
        <v>-0.77711738484398218</v>
      </c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</row>
    <row r="26" spans="1:39" ht="24.75" customHeight="1" x14ac:dyDescent="0.25">
      <c r="A26" s="224"/>
      <c r="B26" s="224"/>
      <c r="C26" s="236" t="s">
        <v>3</v>
      </c>
      <c r="D26" s="186"/>
      <c r="E26" s="190"/>
      <c r="F26" s="218">
        <f>F17+F18-F20-F21</f>
        <v>210.7</v>
      </c>
      <c r="G26" s="218">
        <f t="shared" ref="G26:I26" si="10">G17+G18-G20-G21</f>
        <v>220.89999999999998</v>
      </c>
      <c r="H26" s="218">
        <f t="shared" si="10"/>
        <v>211.8</v>
      </c>
      <c r="I26" s="218">
        <f t="shared" si="10"/>
        <v>212.8</v>
      </c>
      <c r="J26" s="68">
        <f t="shared" si="6"/>
        <v>4.8410061699098117E-2</v>
      </c>
      <c r="K26" s="69">
        <f t="shared" si="6"/>
        <v>-4.119511090991379E-2</v>
      </c>
      <c r="L26" s="70">
        <f t="shared" si="6"/>
        <v>4.7214353163360645E-3</v>
      </c>
      <c r="M26" s="191"/>
      <c r="N26" s="218">
        <f>N17+N18-N20</f>
        <v>57.100000000000009</v>
      </c>
      <c r="O26" s="218">
        <v>59.8</v>
      </c>
      <c r="P26" s="218">
        <f t="shared" ref="P26:Q26" si="11">P17+P18-P20</f>
        <v>60</v>
      </c>
      <c r="Q26" s="218">
        <f t="shared" si="11"/>
        <v>58</v>
      </c>
      <c r="R26" s="68">
        <f t="shared" si="7"/>
        <v>4.7285464098073327E-2</v>
      </c>
      <c r="S26" s="69">
        <f t="shared" si="7"/>
        <v>3.3444816053511683E-3</v>
      </c>
      <c r="T26" s="70">
        <f t="shared" si="7"/>
        <v>-3.3333333333333326E-2</v>
      </c>
      <c r="U26" s="191"/>
      <c r="V26" s="218">
        <f>V17+V18-V20-V21</f>
        <v>267.8</v>
      </c>
      <c r="W26" s="218">
        <f t="shared" ref="W26:Y26" si="12">W17+W18-W20</f>
        <v>278.2</v>
      </c>
      <c r="X26" s="218">
        <f t="shared" si="12"/>
        <v>271.8</v>
      </c>
      <c r="Y26" s="218">
        <f t="shared" si="12"/>
        <v>270</v>
      </c>
      <c r="Z26" s="68">
        <f t="shared" si="9"/>
        <v>3.8834951456310662E-2</v>
      </c>
      <c r="AA26" s="69">
        <f t="shared" si="9"/>
        <v>-2.3005032350826626E-2</v>
      </c>
      <c r="AB26" s="70">
        <f t="shared" si="9"/>
        <v>-6.6225165562914245E-3</v>
      </c>
      <c r="AD26" s="181"/>
      <c r="AE26" s="181"/>
      <c r="AF26" s="181"/>
      <c r="AG26" s="181"/>
      <c r="AH26" s="181"/>
      <c r="AI26" s="181"/>
      <c r="AJ26" s="181"/>
      <c r="AK26" s="181"/>
      <c r="AL26" s="181"/>
      <c r="AM26" s="181"/>
    </row>
    <row r="27" spans="1:39" ht="24.75" customHeight="1" x14ac:dyDescent="0.25">
      <c r="A27" s="190"/>
      <c r="B27" s="224"/>
      <c r="C27" s="213" t="s">
        <v>4</v>
      </c>
      <c r="D27" s="238" t="s">
        <v>39</v>
      </c>
      <c r="E27" s="190"/>
      <c r="F27" s="215">
        <v>77.2</v>
      </c>
      <c r="G27" s="215">
        <v>71.3</v>
      </c>
      <c r="H27" s="309">
        <v>69</v>
      </c>
      <c r="I27" s="309">
        <v>69</v>
      </c>
      <c r="J27" s="59">
        <f t="shared" si="6"/>
        <v>-7.6424870466321293E-2</v>
      </c>
      <c r="K27" s="60">
        <f t="shared" si="6"/>
        <v>-3.2258064516129004E-2</v>
      </c>
      <c r="L27" s="61">
        <f t="shared" si="6"/>
        <v>0</v>
      </c>
      <c r="N27" s="214"/>
      <c r="O27" s="215"/>
      <c r="P27" s="215"/>
      <c r="Q27" s="309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246">
        <f t="shared" si="8"/>
        <v>77.2</v>
      </c>
      <c r="W27" s="246">
        <f t="shared" si="8"/>
        <v>71.3</v>
      </c>
      <c r="X27" s="246">
        <f t="shared" si="8"/>
        <v>69</v>
      </c>
      <c r="Y27" s="248">
        <f t="shared" si="8"/>
        <v>69</v>
      </c>
      <c r="Z27" s="59">
        <f t="shared" si="9"/>
        <v>-7.6424870466321293E-2</v>
      </c>
      <c r="AA27" s="60">
        <f t="shared" si="9"/>
        <v>-3.2258064516129004E-2</v>
      </c>
      <c r="AB27" s="61">
        <f t="shared" si="9"/>
        <v>0</v>
      </c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</row>
    <row r="28" spans="1:39" ht="24.75" customHeight="1" x14ac:dyDescent="0.25">
      <c r="A28" s="190"/>
      <c r="B28" s="224"/>
      <c r="C28" s="213"/>
      <c r="D28" s="238" t="s">
        <v>40</v>
      </c>
      <c r="E28" s="190"/>
      <c r="F28" s="259"/>
      <c r="G28" s="259">
        <v>0</v>
      </c>
      <c r="H28" s="260">
        <v>0</v>
      </c>
      <c r="I28" s="260">
        <v>0</v>
      </c>
      <c r="J28" s="68" t="str">
        <f t="shared" si="6"/>
        <v/>
      </c>
      <c r="K28" s="69" t="str">
        <f t="shared" si="6"/>
        <v/>
      </c>
      <c r="L28" s="70" t="str">
        <f t="shared" si="6"/>
        <v/>
      </c>
      <c r="N28" s="258"/>
      <c r="O28" s="259"/>
      <c r="P28" s="259"/>
      <c r="Q28" s="260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254">
        <f t="shared" si="8"/>
        <v>0</v>
      </c>
      <c r="W28" s="255">
        <f t="shared" si="8"/>
        <v>0</v>
      </c>
      <c r="X28" s="255">
        <f t="shared" si="8"/>
        <v>0</v>
      </c>
      <c r="Y28" s="256">
        <f t="shared" si="8"/>
        <v>0</v>
      </c>
      <c r="Z28" s="68" t="str">
        <f t="shared" si="9"/>
        <v/>
      </c>
      <c r="AA28" s="69" t="str">
        <f t="shared" si="9"/>
        <v/>
      </c>
      <c r="AB28" s="70" t="str">
        <f t="shared" si="9"/>
        <v/>
      </c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</row>
    <row r="29" spans="1:39" ht="24.75" customHeight="1" x14ac:dyDescent="0.25">
      <c r="A29" s="190"/>
      <c r="B29" s="224"/>
      <c r="C29" s="213" t="s">
        <v>5</v>
      </c>
      <c r="D29" s="238" t="s">
        <v>39</v>
      </c>
      <c r="E29" s="190"/>
      <c r="F29" s="215">
        <v>179</v>
      </c>
      <c r="G29" s="215">
        <v>175.5</v>
      </c>
      <c r="H29" s="309">
        <v>180</v>
      </c>
      <c r="I29" s="309">
        <v>178</v>
      </c>
      <c r="J29" s="59">
        <f t="shared" si="6"/>
        <v>-1.9553072625698276E-2</v>
      </c>
      <c r="K29" s="60">
        <f t="shared" si="6"/>
        <v>2.564102564102555E-2</v>
      </c>
      <c r="L29" s="61">
        <f t="shared" si="6"/>
        <v>-1.1111111111111072E-2</v>
      </c>
      <c r="N29" s="214"/>
      <c r="O29" s="215"/>
      <c r="P29" s="215"/>
      <c r="Q29" s="309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246">
        <f>F29</f>
        <v>179</v>
      </c>
      <c r="W29" s="247">
        <f t="shared" si="8"/>
        <v>175.5</v>
      </c>
      <c r="X29" s="247">
        <f t="shared" si="8"/>
        <v>180</v>
      </c>
      <c r="Y29" s="247">
        <f t="shared" si="8"/>
        <v>178</v>
      </c>
      <c r="Z29" s="59">
        <f t="shared" si="9"/>
        <v>-1.9553072625698276E-2</v>
      </c>
      <c r="AA29" s="60">
        <f t="shared" si="9"/>
        <v>2.564102564102555E-2</v>
      </c>
      <c r="AB29" s="61">
        <f t="shared" si="9"/>
        <v>-1.1111111111111072E-2</v>
      </c>
      <c r="AD29" s="181"/>
      <c r="AE29" s="181"/>
      <c r="AF29" s="181"/>
      <c r="AG29" s="181"/>
      <c r="AH29" s="181"/>
      <c r="AI29" s="181"/>
      <c r="AJ29" s="181"/>
      <c r="AK29" s="181"/>
      <c r="AL29" s="181"/>
      <c r="AM29" s="181"/>
    </row>
    <row r="30" spans="1:39" ht="24.75" customHeight="1" x14ac:dyDescent="0.25">
      <c r="A30" s="261"/>
      <c r="B30" s="224"/>
      <c r="C30" s="213"/>
      <c r="D30" s="238" t="s">
        <v>40</v>
      </c>
      <c r="E30" s="190"/>
      <c r="F30" s="259"/>
      <c r="G30" s="259">
        <v>13.7</v>
      </c>
      <c r="H30" s="260">
        <v>0</v>
      </c>
      <c r="I30" s="260"/>
      <c r="J30" s="68" t="str">
        <f t="shared" si="6"/>
        <v/>
      </c>
      <c r="K30" s="69" t="str">
        <f t="shared" si="6"/>
        <v/>
      </c>
      <c r="L30" s="70" t="str">
        <f t="shared" si="6"/>
        <v/>
      </c>
      <c r="N30" s="258"/>
      <c r="O30" s="259"/>
      <c r="P30" s="259"/>
      <c r="Q30" s="260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254">
        <f t="shared" si="8"/>
        <v>0</v>
      </c>
      <c r="W30" s="255">
        <f t="shared" si="8"/>
        <v>13.7</v>
      </c>
      <c r="X30" s="255">
        <f t="shared" si="8"/>
        <v>0</v>
      </c>
      <c r="Y30" s="256">
        <f t="shared" si="8"/>
        <v>0</v>
      </c>
      <c r="Z30" s="65" t="str">
        <f t="shared" si="9"/>
        <v/>
      </c>
      <c r="AA30" s="66" t="str">
        <f t="shared" si="9"/>
        <v/>
      </c>
      <c r="AB30" s="67" t="str">
        <f t="shared" si="9"/>
        <v/>
      </c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</row>
    <row r="31" spans="1:39" ht="24.75" customHeight="1" x14ac:dyDescent="0.25">
      <c r="A31" s="192" t="s">
        <v>17</v>
      </c>
      <c r="B31" s="193"/>
      <c r="C31" s="194"/>
      <c r="D31" s="194"/>
      <c r="E31" s="193"/>
      <c r="F31" s="398">
        <f>$F$7</f>
        <v>2015</v>
      </c>
      <c r="G31" s="393">
        <f>+F31+1</f>
        <v>2016</v>
      </c>
      <c r="H31" s="393">
        <f>+G31+1</f>
        <v>2017</v>
      </c>
      <c r="I31" s="395">
        <f>+H31+1</f>
        <v>2018</v>
      </c>
      <c r="J31" s="197"/>
      <c r="K31" s="198" t="s">
        <v>11</v>
      </c>
      <c r="L31" s="199"/>
      <c r="M31" s="221"/>
      <c r="N31" s="398">
        <f>$F$7</f>
        <v>2015</v>
      </c>
      <c r="O31" s="393">
        <f>+N31+1</f>
        <v>2016</v>
      </c>
      <c r="P31" s="393">
        <f>+O31+1</f>
        <v>2017</v>
      </c>
      <c r="Q31" s="395">
        <f>+P31+1</f>
        <v>2018</v>
      </c>
      <c r="R31" s="197"/>
      <c r="S31" s="198" t="s">
        <v>11</v>
      </c>
      <c r="T31" s="199"/>
      <c r="U31" s="221"/>
      <c r="V31" s="398">
        <f>$F$7</f>
        <v>2015</v>
      </c>
      <c r="W31" s="393">
        <f>+V31+1</f>
        <v>2016</v>
      </c>
      <c r="X31" s="393">
        <f>+W31+1</f>
        <v>2017</v>
      </c>
      <c r="Y31" s="395">
        <f>+X31+1</f>
        <v>2018</v>
      </c>
      <c r="Z31" s="197"/>
      <c r="AA31" s="198" t="s">
        <v>11</v>
      </c>
      <c r="AB31" s="199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</row>
    <row r="32" spans="1:39" ht="24.75" customHeight="1" x14ac:dyDescent="0.25">
      <c r="A32" s="204"/>
      <c r="B32" s="193"/>
      <c r="C32" s="194"/>
      <c r="D32" s="194"/>
      <c r="E32" s="193"/>
      <c r="F32" s="399"/>
      <c r="G32" s="394"/>
      <c r="H32" s="394"/>
      <c r="I32" s="396"/>
      <c r="J32" s="206" t="str">
        <f>G31&amp;"/"&amp;RIGHT(F31,2)</f>
        <v>2016/15</v>
      </c>
      <c r="K32" s="207" t="str">
        <f>H31&amp;"/"&amp;RIGHT(G31,2)</f>
        <v>2017/16</v>
      </c>
      <c r="L32" s="208" t="str">
        <f>I31&amp;"/"&amp;RIGHT(H31,2)</f>
        <v>2018/17</v>
      </c>
      <c r="M32" s="221"/>
      <c r="N32" s="399"/>
      <c r="O32" s="394"/>
      <c r="P32" s="394"/>
      <c r="Q32" s="396"/>
      <c r="R32" s="206" t="str">
        <f>O31&amp;"/"&amp;RIGHT(N31,2)</f>
        <v>2016/15</v>
      </c>
      <c r="S32" s="207" t="str">
        <f>P31&amp;"/"&amp;RIGHT(O31,2)</f>
        <v>2017/16</v>
      </c>
      <c r="T32" s="208" t="str">
        <f>Q31&amp;"/"&amp;RIGHT(P31,2)</f>
        <v>2018/17</v>
      </c>
      <c r="U32" s="221"/>
      <c r="V32" s="399"/>
      <c r="W32" s="394"/>
      <c r="X32" s="394"/>
      <c r="Y32" s="396"/>
      <c r="Z32" s="206" t="str">
        <f>W31&amp;"/"&amp;RIGHT(V31,2)</f>
        <v>2016/15</v>
      </c>
      <c r="AA32" s="207" t="str">
        <f>X31&amp;"/"&amp;RIGHT(W31,2)</f>
        <v>2017/16</v>
      </c>
      <c r="AB32" s="208" t="str">
        <f>Y31&amp;"/"&amp;RIGHT(X31,2)</f>
        <v>2018/17</v>
      </c>
      <c r="AC32" s="190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</row>
    <row r="33" spans="1:39" ht="24.75" customHeight="1" x14ac:dyDescent="0.25">
      <c r="A33" s="224"/>
      <c r="B33" s="190"/>
      <c r="C33" s="186" t="s">
        <v>1</v>
      </c>
      <c r="D33" s="186"/>
      <c r="E33" s="190"/>
      <c r="F33" s="225"/>
      <c r="G33" s="226"/>
      <c r="H33" s="226"/>
      <c r="I33" s="257"/>
      <c r="J33" s="62" t="str">
        <f t="shared" ref="J33:L36" si="13">IF(OR(G33=0,F33=0),"",G33/F33-1)</f>
        <v/>
      </c>
      <c r="K33" s="63" t="str">
        <f t="shared" si="13"/>
        <v/>
      </c>
      <c r="L33" s="64" t="str">
        <f t="shared" si="13"/>
        <v/>
      </c>
      <c r="N33" s="225"/>
      <c r="O33" s="226"/>
      <c r="P33" s="226"/>
      <c r="Q33" s="257"/>
      <c r="R33" s="62" t="str">
        <f t="shared" ref="R33:T36" si="14">IF(OR(O33=0,N33=0),"",O33/N33-1)</f>
        <v/>
      </c>
      <c r="S33" s="63" t="str">
        <f t="shared" si="14"/>
        <v/>
      </c>
      <c r="T33" s="64" t="str">
        <f t="shared" si="14"/>
        <v/>
      </c>
      <c r="V33" s="227">
        <f t="shared" ref="V33:Y34" si="15">+F33+N33</f>
        <v>0</v>
      </c>
      <c r="W33" s="228">
        <f t="shared" si="15"/>
        <v>0</v>
      </c>
      <c r="X33" s="228">
        <f t="shared" si="15"/>
        <v>0</v>
      </c>
      <c r="Y33" s="229">
        <f t="shared" si="15"/>
        <v>0</v>
      </c>
      <c r="Z33" s="62" t="str">
        <f t="shared" ref="Z33:AB36" si="16">IF(OR(W33=0,V33=0),"",W33/V33-1)</f>
        <v/>
      </c>
      <c r="AA33" s="63" t="str">
        <f t="shared" si="16"/>
        <v/>
      </c>
      <c r="AB33" s="64" t="str">
        <f t="shared" si="16"/>
        <v/>
      </c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</row>
    <row r="34" spans="1:39" ht="24.75" customHeight="1" x14ac:dyDescent="0.25">
      <c r="A34" s="224"/>
      <c r="B34" s="190"/>
      <c r="C34" s="230" t="s">
        <v>2</v>
      </c>
      <c r="D34" s="230"/>
      <c r="E34" s="190"/>
      <c r="F34" s="231"/>
      <c r="G34" s="232"/>
      <c r="H34" s="232"/>
      <c r="I34" s="312"/>
      <c r="J34" s="65" t="str">
        <f t="shared" si="13"/>
        <v/>
      </c>
      <c r="K34" s="66" t="str">
        <f t="shared" si="13"/>
        <v/>
      </c>
      <c r="L34" s="67" t="str">
        <f t="shared" si="13"/>
        <v/>
      </c>
      <c r="N34" s="231"/>
      <c r="O34" s="232"/>
      <c r="P34" s="232"/>
      <c r="Q34" s="312"/>
      <c r="R34" s="65" t="str">
        <f t="shared" si="14"/>
        <v/>
      </c>
      <c r="S34" s="66" t="str">
        <f t="shared" si="14"/>
        <v/>
      </c>
      <c r="T34" s="67" t="str">
        <f t="shared" si="14"/>
        <v/>
      </c>
      <c r="V34" s="233">
        <f t="shared" si="15"/>
        <v>0</v>
      </c>
      <c r="W34" s="234">
        <f t="shared" si="15"/>
        <v>0</v>
      </c>
      <c r="X34" s="234">
        <f t="shared" si="15"/>
        <v>0</v>
      </c>
      <c r="Y34" s="235">
        <f t="shared" si="15"/>
        <v>0</v>
      </c>
      <c r="Z34" s="65" t="str">
        <f t="shared" si="16"/>
        <v/>
      </c>
      <c r="AA34" s="66" t="str">
        <f t="shared" si="16"/>
        <v/>
      </c>
      <c r="AB34" s="67" t="str">
        <f t="shared" si="16"/>
        <v/>
      </c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</row>
    <row r="35" spans="1:39" ht="24.75" customHeight="1" x14ac:dyDescent="0.25">
      <c r="A35" s="224"/>
      <c r="B35" s="190"/>
      <c r="C35" s="236" t="s">
        <v>3</v>
      </c>
      <c r="D35" s="186"/>
      <c r="E35" s="190"/>
      <c r="F35" s="218">
        <f>F26+F27-F29</f>
        <v>108.89999999999998</v>
      </c>
      <c r="G35" s="218">
        <f>G26+G27-G29-G30</f>
        <v>102.99999999999999</v>
      </c>
      <c r="H35" s="218">
        <f t="shared" ref="H35:I35" si="17">H26+H27-H29</f>
        <v>100.80000000000001</v>
      </c>
      <c r="I35" s="218">
        <f t="shared" si="17"/>
        <v>103.80000000000001</v>
      </c>
      <c r="J35" s="68">
        <f t="shared" si="13"/>
        <v>-5.4178145087235952E-2</v>
      </c>
      <c r="K35" s="69">
        <f t="shared" si="13"/>
        <v>-2.135922330097062E-2</v>
      </c>
      <c r="L35" s="70">
        <f t="shared" si="13"/>
        <v>2.9761904761904656E-2</v>
      </c>
      <c r="M35" s="191"/>
      <c r="N35" s="218">
        <f>+N33+N34</f>
        <v>0</v>
      </c>
      <c r="O35" s="219">
        <f>+O33+O34</f>
        <v>0</v>
      </c>
      <c r="P35" s="219">
        <f>+P33+P34</f>
        <v>0</v>
      </c>
      <c r="Q35" s="237">
        <f>+Q33+Q34</f>
        <v>0</v>
      </c>
      <c r="R35" s="68" t="str">
        <f t="shared" si="14"/>
        <v/>
      </c>
      <c r="S35" s="69" t="str">
        <f t="shared" si="14"/>
        <v/>
      </c>
      <c r="T35" s="70" t="str">
        <f t="shared" si="14"/>
        <v/>
      </c>
      <c r="U35" s="191"/>
      <c r="V35" s="218">
        <f>V26+V27-V29</f>
        <v>166</v>
      </c>
      <c r="W35" s="218">
        <f>W26+W27-W29-W30</f>
        <v>160.30000000000001</v>
      </c>
      <c r="X35" s="218">
        <f t="shared" ref="X35:Y35" si="18">X26+X27-X29</f>
        <v>160.80000000000001</v>
      </c>
      <c r="Y35" s="218">
        <f t="shared" si="18"/>
        <v>161</v>
      </c>
      <c r="Z35" s="68">
        <f t="shared" si="16"/>
        <v>-3.4337349397590256E-2</v>
      </c>
      <c r="AA35" s="69">
        <f t="shared" si="16"/>
        <v>3.1191515907673661E-3</v>
      </c>
      <c r="AB35" s="70">
        <f t="shared" si="16"/>
        <v>1.2437810945273853E-3</v>
      </c>
      <c r="AD35" s="181"/>
      <c r="AE35" s="181"/>
      <c r="AF35" s="181"/>
      <c r="AG35" s="181"/>
      <c r="AH35" s="181"/>
      <c r="AI35" s="181"/>
      <c r="AJ35" s="181"/>
      <c r="AK35" s="181"/>
      <c r="AL35" s="181"/>
      <c r="AM35" s="181"/>
    </row>
    <row r="36" spans="1:39" ht="24.75" customHeight="1" x14ac:dyDescent="0.25">
      <c r="A36" s="224"/>
      <c r="C36" s="278" t="s">
        <v>12</v>
      </c>
      <c r="D36" s="52"/>
      <c r="E36" s="11"/>
      <c r="F36" s="258"/>
      <c r="G36" s="259"/>
      <c r="H36" s="259"/>
      <c r="I36" s="260"/>
      <c r="J36" s="68" t="str">
        <f t="shared" si="13"/>
        <v/>
      </c>
      <c r="K36" s="69" t="str">
        <f t="shared" si="13"/>
        <v/>
      </c>
      <c r="L36" s="70" t="str">
        <f t="shared" si="13"/>
        <v/>
      </c>
      <c r="N36" s="258"/>
      <c r="O36" s="259"/>
      <c r="P36" s="259"/>
      <c r="Q36" s="260"/>
      <c r="R36" s="68" t="str">
        <f t="shared" si="14"/>
        <v/>
      </c>
      <c r="S36" s="69" t="str">
        <f t="shared" si="14"/>
        <v/>
      </c>
      <c r="T36" s="70" t="str">
        <f t="shared" si="14"/>
        <v/>
      </c>
      <c r="V36" s="254">
        <v>14.82</v>
      </c>
      <c r="W36" s="255">
        <v>14.24</v>
      </c>
      <c r="X36" s="255">
        <v>14.2</v>
      </c>
      <c r="Y36" s="256">
        <v>14.2</v>
      </c>
      <c r="Z36" s="68">
        <f t="shared" si="16"/>
        <v>-3.9136302294197067E-2</v>
      </c>
      <c r="AA36" s="69">
        <f t="shared" si="16"/>
        <v>-2.8089887640450062E-3</v>
      </c>
      <c r="AB36" s="70">
        <f t="shared" si="16"/>
        <v>0</v>
      </c>
      <c r="AC36" s="52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</row>
    <row r="37" spans="1:39" ht="24.75" customHeight="1" x14ac:dyDescent="0.25">
      <c r="A37" s="224"/>
      <c r="B37" s="279"/>
      <c r="C37" s="278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81"/>
      <c r="AE37" s="181"/>
      <c r="AF37" s="181"/>
      <c r="AG37" s="181"/>
      <c r="AH37" s="181"/>
      <c r="AI37" s="181"/>
      <c r="AJ37" s="181"/>
      <c r="AK37" s="181"/>
      <c r="AL37" s="181"/>
      <c r="AM37" s="181"/>
    </row>
    <row r="38" spans="1:39" ht="24.75" customHeight="1" x14ac:dyDescent="0.25">
      <c r="A38" s="192" t="s">
        <v>13</v>
      </c>
      <c r="B38" s="193"/>
      <c r="C38" s="280"/>
      <c r="D38" s="223" t="s">
        <v>27</v>
      </c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</row>
    <row r="39" spans="1:39" ht="24.75" customHeight="1" x14ac:dyDescent="0.25">
      <c r="A39" s="281"/>
      <c r="B39" s="281"/>
      <c r="C39" s="281"/>
      <c r="D39" s="195" t="s">
        <v>41</v>
      </c>
      <c r="E39" s="221"/>
      <c r="F39" s="397" t="s">
        <v>21</v>
      </c>
      <c r="G39" s="397"/>
      <c r="H39" s="397"/>
      <c r="I39" s="397"/>
      <c r="J39" s="397"/>
      <c r="K39" s="397"/>
      <c r="L39" s="397"/>
      <c r="M39" s="221"/>
      <c r="N39" s="397" t="s">
        <v>20</v>
      </c>
      <c r="O39" s="397"/>
      <c r="P39" s="397"/>
      <c r="Q39" s="397"/>
      <c r="R39" s="397"/>
      <c r="S39" s="397"/>
      <c r="T39" s="397"/>
      <c r="U39" s="221"/>
      <c r="V39" s="221"/>
      <c r="W39" s="221"/>
      <c r="X39" s="221"/>
      <c r="Y39" s="221"/>
      <c r="Z39" s="221"/>
      <c r="AA39" s="221"/>
      <c r="AB39" s="221"/>
    </row>
    <row r="40" spans="1:39" ht="24.75" customHeight="1" x14ac:dyDescent="0.25">
      <c r="A40" s="282"/>
      <c r="B40" s="200"/>
      <c r="C40" s="200"/>
      <c r="D40" s="283"/>
      <c r="E40" s="284"/>
      <c r="F40" s="398">
        <f>$F$7</f>
        <v>2015</v>
      </c>
      <c r="G40" s="393">
        <f>+F40+1</f>
        <v>2016</v>
      </c>
      <c r="H40" s="393">
        <f>+G40+1</f>
        <v>2017</v>
      </c>
      <c r="I40" s="395">
        <f>+H40+1</f>
        <v>2018</v>
      </c>
      <c r="J40" s="197"/>
      <c r="K40" s="198" t="s">
        <v>11</v>
      </c>
      <c r="L40" s="199"/>
      <c r="N40" s="398">
        <f>$F$7</f>
        <v>2015</v>
      </c>
      <c r="O40" s="393">
        <f>+N40+1</f>
        <v>2016</v>
      </c>
      <c r="P40" s="393">
        <f>+O40+1</f>
        <v>2017</v>
      </c>
      <c r="Q40" s="395">
        <f>+P40+1</f>
        <v>2018</v>
      </c>
      <c r="R40" s="197"/>
      <c r="S40" s="198" t="s">
        <v>11</v>
      </c>
      <c r="T40" s="199"/>
    </row>
    <row r="41" spans="1:39" ht="24.75" customHeight="1" x14ac:dyDescent="0.25">
      <c r="A41" s="282"/>
      <c r="B41" s="200"/>
      <c r="C41" s="202"/>
      <c r="D41" s="283"/>
      <c r="E41" s="284"/>
      <c r="F41" s="399"/>
      <c r="G41" s="394"/>
      <c r="H41" s="394"/>
      <c r="I41" s="396"/>
      <c r="J41" s="206" t="str">
        <f>G40&amp;"/"&amp;RIGHT(F40,2)</f>
        <v>2016/15</v>
      </c>
      <c r="K41" s="207" t="str">
        <f>H40&amp;"/"&amp;RIGHT(G40,2)</f>
        <v>2017/16</v>
      </c>
      <c r="L41" s="208" t="str">
        <f>I40&amp;"/"&amp;RIGHT(H40,2)</f>
        <v>2018/17</v>
      </c>
      <c r="N41" s="399"/>
      <c r="O41" s="394"/>
      <c r="P41" s="394"/>
      <c r="Q41" s="396"/>
      <c r="R41" s="206" t="str">
        <f>O40&amp;"/"&amp;RIGHT(N40,2)</f>
        <v>2016/15</v>
      </c>
      <c r="S41" s="207" t="str">
        <f>P40&amp;"/"&amp;RIGHT(O40,2)</f>
        <v>2017/16</v>
      </c>
      <c r="T41" s="208" t="str">
        <f>Q40&amp;"/"&amp;RIGHT(P40,2)</f>
        <v>2018/17</v>
      </c>
    </row>
    <row r="42" spans="1:39" ht="24.75" customHeight="1" x14ac:dyDescent="0.25">
      <c r="A42" s="284"/>
      <c r="B42" s="284"/>
      <c r="C42" s="202" t="s">
        <v>35</v>
      </c>
      <c r="D42" s="284"/>
      <c r="E42" s="284"/>
      <c r="F42" s="286">
        <v>292.85000000000002</v>
      </c>
      <c r="G42" s="286">
        <v>292.14</v>
      </c>
      <c r="H42" s="286">
        <v>292.08999999999997</v>
      </c>
      <c r="I42" s="319">
        <v>293</v>
      </c>
      <c r="J42" s="62">
        <f t="shared" ref="J42:L44" si="19">IF(OR(G42=0,F42=0),"",G42/F42-1)</f>
        <v>-2.4244493768141862E-3</v>
      </c>
      <c r="K42" s="63">
        <f t="shared" si="19"/>
        <v>-1.7115081810092914E-4</v>
      </c>
      <c r="L42" s="64">
        <f t="shared" si="19"/>
        <v>3.1154781060633852E-3</v>
      </c>
      <c r="N42" s="286">
        <v>564</v>
      </c>
      <c r="O42" s="286">
        <v>554</v>
      </c>
      <c r="P42" s="286">
        <v>542</v>
      </c>
      <c r="Q42" s="319">
        <v>550</v>
      </c>
      <c r="R42" s="62">
        <f t="shared" ref="R42:T44" si="20">IF(OR(O42=0,N42=0),"",O42/N42-1)</f>
        <v>-1.7730496453900679E-2</v>
      </c>
      <c r="S42" s="63">
        <f t="shared" si="20"/>
        <v>-2.166064981949456E-2</v>
      </c>
      <c r="T42" s="64">
        <f t="shared" si="20"/>
        <v>1.4760147601476037E-2</v>
      </c>
      <c r="AG42" s="290"/>
      <c r="AJ42" s="190"/>
    </row>
    <row r="43" spans="1:39" ht="24.75" customHeight="1" x14ac:dyDescent="0.25">
      <c r="A43" s="284"/>
      <c r="B43" s="284"/>
      <c r="C43" s="291" t="s">
        <v>36</v>
      </c>
      <c r="D43" s="230"/>
      <c r="E43" s="284"/>
      <c r="F43" s="293">
        <v>297.33999999999997</v>
      </c>
      <c r="G43" s="293">
        <v>292.20999999999998</v>
      </c>
      <c r="H43" s="293">
        <v>294</v>
      </c>
      <c r="I43" s="320">
        <v>294.5</v>
      </c>
      <c r="J43" s="65">
        <f t="shared" si="19"/>
        <v>-1.7252976390663921E-2</v>
      </c>
      <c r="K43" s="66">
        <f t="shared" si="19"/>
        <v>6.1257314944731522E-3</v>
      </c>
      <c r="L43" s="67">
        <f t="shared" si="19"/>
        <v>1.7006802721089009E-3</v>
      </c>
      <c r="N43" s="293">
        <v>560</v>
      </c>
      <c r="O43" s="293">
        <v>531</v>
      </c>
      <c r="P43" s="293">
        <v>542</v>
      </c>
      <c r="Q43" s="320">
        <v>550</v>
      </c>
      <c r="R43" s="65">
        <f t="shared" si="20"/>
        <v>-5.1785714285714324E-2</v>
      </c>
      <c r="S43" s="66">
        <f t="shared" si="20"/>
        <v>2.0715630885122405E-2</v>
      </c>
      <c r="T43" s="67">
        <f t="shared" si="20"/>
        <v>1.4760147601476037E-2</v>
      </c>
      <c r="AJ43" s="297"/>
    </row>
    <row r="44" spans="1:39" ht="24.75" customHeight="1" x14ac:dyDescent="0.25">
      <c r="A44" s="200"/>
      <c r="B44" s="200"/>
      <c r="D44" s="298" t="s">
        <v>37</v>
      </c>
      <c r="E44" s="284"/>
      <c r="F44" s="299">
        <f>(F42+F43)/2</f>
        <v>295.09500000000003</v>
      </c>
      <c r="G44" s="300">
        <f>(G42+G43)/2</f>
        <v>292.17499999999995</v>
      </c>
      <c r="H44" s="300">
        <f>(H42+H43)/2</f>
        <v>293.04499999999996</v>
      </c>
      <c r="I44" s="301">
        <f>(I42+I43)/2</f>
        <v>293.75</v>
      </c>
      <c r="J44" s="68">
        <f t="shared" si="19"/>
        <v>-9.8951185211544335E-3</v>
      </c>
      <c r="K44" s="69">
        <f t="shared" si="19"/>
        <v>2.9776674937964653E-3</v>
      </c>
      <c r="L44" s="70">
        <f t="shared" si="19"/>
        <v>2.4057738572575982E-3</v>
      </c>
      <c r="M44" s="191"/>
      <c r="N44" s="299">
        <f>(N42+N43)/2</f>
        <v>562</v>
      </c>
      <c r="O44" s="300">
        <f>(O42+O43)/2</f>
        <v>542.5</v>
      </c>
      <c r="P44" s="300">
        <f>(P42+P43)/2</f>
        <v>542</v>
      </c>
      <c r="Q44" s="301">
        <f>(Q42+Q43)/2</f>
        <v>550</v>
      </c>
      <c r="R44" s="68">
        <f t="shared" si="20"/>
        <v>-3.4697508896797125E-2</v>
      </c>
      <c r="S44" s="69">
        <f t="shared" si="20"/>
        <v>-9.2165898617513342E-4</v>
      </c>
      <c r="T44" s="70">
        <f t="shared" si="20"/>
        <v>1.4760147601476037E-2</v>
      </c>
      <c r="AJ44" s="297"/>
    </row>
    <row r="45" spans="1:39" ht="24.75" customHeight="1" x14ac:dyDescent="0.25">
      <c r="A45" s="200"/>
      <c r="B45" s="200"/>
      <c r="C45" s="202"/>
      <c r="D45" s="284"/>
      <c r="E45" s="284"/>
      <c r="F45" s="397" t="s">
        <v>19</v>
      </c>
      <c r="G45" s="397"/>
      <c r="H45" s="397"/>
      <c r="I45" s="397"/>
      <c r="J45" s="397"/>
      <c r="K45" s="397"/>
      <c r="L45" s="397"/>
      <c r="M45" s="191"/>
      <c r="N45" s="397" t="s">
        <v>22</v>
      </c>
      <c r="O45" s="397"/>
      <c r="P45" s="397"/>
      <c r="Q45" s="397"/>
      <c r="R45" s="397"/>
      <c r="S45" s="397"/>
      <c r="T45" s="397"/>
      <c r="AJ45" s="297"/>
    </row>
    <row r="46" spans="1:39" ht="24.75" customHeight="1" x14ac:dyDescent="0.25">
      <c r="A46" s="200"/>
      <c r="B46" s="200"/>
      <c r="C46" s="202"/>
      <c r="D46" s="284"/>
      <c r="E46" s="284"/>
      <c r="F46" s="398">
        <f>$F$7</f>
        <v>2015</v>
      </c>
      <c r="G46" s="393">
        <f>+F46+1</f>
        <v>2016</v>
      </c>
      <c r="H46" s="393">
        <f>+G46+1</f>
        <v>2017</v>
      </c>
      <c r="I46" s="395">
        <f>+H46+1</f>
        <v>2018</v>
      </c>
      <c r="J46" s="197"/>
      <c r="K46" s="198" t="s">
        <v>11</v>
      </c>
      <c r="L46" s="199"/>
      <c r="M46" s="191"/>
      <c r="N46" s="398">
        <f>$F$7</f>
        <v>2015</v>
      </c>
      <c r="O46" s="393">
        <f>+N46+1</f>
        <v>2016</v>
      </c>
      <c r="P46" s="393">
        <f>+O46+1</f>
        <v>2017</v>
      </c>
      <c r="Q46" s="395">
        <f>+P46+1</f>
        <v>2018</v>
      </c>
      <c r="R46" s="197"/>
      <c r="S46" s="198" t="s">
        <v>11</v>
      </c>
      <c r="T46" s="199"/>
      <c r="AJ46" s="297"/>
    </row>
    <row r="47" spans="1:39" ht="24.75" customHeight="1" x14ac:dyDescent="0.25">
      <c r="A47" s="200"/>
      <c r="B47" s="200"/>
      <c r="C47" s="284"/>
      <c r="D47" s="200"/>
      <c r="E47" s="284"/>
      <c r="F47" s="399"/>
      <c r="G47" s="394"/>
      <c r="H47" s="394"/>
      <c r="I47" s="396"/>
      <c r="J47" s="206" t="str">
        <f>G46&amp;"/"&amp;RIGHT(F46,2)</f>
        <v>2016/15</v>
      </c>
      <c r="K47" s="207" t="str">
        <f>H46&amp;"/"&amp;RIGHT(G46,2)</f>
        <v>2017/16</v>
      </c>
      <c r="L47" s="208" t="str">
        <f>I46&amp;"/"&amp;RIGHT(H46,2)</f>
        <v>2018/17</v>
      </c>
      <c r="N47" s="399"/>
      <c r="O47" s="394"/>
      <c r="P47" s="394"/>
      <c r="Q47" s="396"/>
      <c r="R47" s="206" t="str">
        <f>O46&amp;"/"&amp;RIGHT(N46,2)</f>
        <v>2016/15</v>
      </c>
      <c r="S47" s="207" t="str">
        <f>P46&amp;"/"&amp;RIGHT(O46,2)</f>
        <v>2017/16</v>
      </c>
      <c r="T47" s="208" t="str">
        <f>Q46&amp;"/"&amp;RIGHT(P46,2)</f>
        <v>2018/17</v>
      </c>
      <c r="AJ47" s="297"/>
    </row>
    <row r="48" spans="1:39" ht="24.75" customHeight="1" x14ac:dyDescent="0.25">
      <c r="A48" s="284"/>
      <c r="B48" s="302"/>
      <c r="C48" s="202" t="s">
        <v>35</v>
      </c>
      <c r="D48" s="284"/>
      <c r="E48" s="284"/>
      <c r="F48" s="286">
        <v>267.51</v>
      </c>
      <c r="G48" s="286">
        <v>257.02999999999997</v>
      </c>
      <c r="H48" s="286">
        <v>260.61</v>
      </c>
      <c r="I48" s="319">
        <v>270</v>
      </c>
      <c r="J48" s="62">
        <f t="shared" ref="J48:L50" si="21">IF(OR(G48=0,F48=0),"",G48/F48-1)</f>
        <v>-3.9176105566147146E-2</v>
      </c>
      <c r="K48" s="63">
        <f t="shared" si="21"/>
        <v>1.3928335213788445E-2</v>
      </c>
      <c r="L48" s="64">
        <f t="shared" si="21"/>
        <v>3.6030850696442851E-2</v>
      </c>
      <c r="N48" s="285"/>
      <c r="O48" s="286"/>
      <c r="P48" s="286"/>
      <c r="Q48" s="319"/>
      <c r="R48" s="62" t="str">
        <f t="shared" ref="R48:T50" si="22">IF(OR(O48=0,N48=0),"",O48/N48-1)</f>
        <v/>
      </c>
      <c r="S48" s="63" t="str">
        <f t="shared" si="22"/>
        <v/>
      </c>
      <c r="T48" s="64" t="str">
        <f t="shared" si="22"/>
        <v/>
      </c>
      <c r="AF48" s="303"/>
      <c r="AJ48" s="190"/>
    </row>
    <row r="49" spans="1:36" ht="24.75" customHeight="1" x14ac:dyDescent="0.25">
      <c r="A49" s="200"/>
      <c r="B49" s="200"/>
      <c r="C49" s="291" t="s">
        <v>36</v>
      </c>
      <c r="D49" s="230"/>
      <c r="E49" s="284"/>
      <c r="F49" s="293">
        <v>263.27999999999997</v>
      </c>
      <c r="G49" s="293">
        <v>249.78</v>
      </c>
      <c r="H49" s="293">
        <v>271.52999999999997</v>
      </c>
      <c r="I49" s="320">
        <v>270</v>
      </c>
      <c r="J49" s="65">
        <f t="shared" si="21"/>
        <v>-5.1276207839562327E-2</v>
      </c>
      <c r="K49" s="66">
        <f t="shared" si="21"/>
        <v>8.7076627432140175E-2</v>
      </c>
      <c r="L49" s="67">
        <f t="shared" si="21"/>
        <v>-5.6347364932051169E-3</v>
      </c>
      <c r="N49" s="292"/>
      <c r="O49" s="293"/>
      <c r="P49" s="293"/>
      <c r="Q49" s="320"/>
      <c r="R49" s="65" t="str">
        <f t="shared" si="22"/>
        <v/>
      </c>
      <c r="S49" s="66" t="str">
        <f t="shared" si="22"/>
        <v/>
      </c>
      <c r="T49" s="67" t="str">
        <f t="shared" si="22"/>
        <v/>
      </c>
      <c r="AH49" s="190"/>
      <c r="AJ49" s="190"/>
    </row>
    <row r="50" spans="1:36" ht="24.75" customHeight="1" x14ac:dyDescent="0.25">
      <c r="A50" s="200"/>
      <c r="B50" s="200"/>
      <c r="D50" s="298" t="s">
        <v>37</v>
      </c>
      <c r="E50" s="284"/>
      <c r="F50" s="299">
        <f>(F48+F49)/2</f>
        <v>265.39499999999998</v>
      </c>
      <c r="G50" s="300">
        <f>(G48+G49)/2</f>
        <v>253.40499999999997</v>
      </c>
      <c r="H50" s="300">
        <f>(H48+H49)/2</f>
        <v>266.07</v>
      </c>
      <c r="I50" s="301">
        <f>(I48+I49)/2</f>
        <v>270</v>
      </c>
      <c r="J50" s="68">
        <f t="shared" si="21"/>
        <v>-4.5177942312402353E-2</v>
      </c>
      <c r="K50" s="69">
        <f t="shared" si="21"/>
        <v>4.9979282176752626E-2</v>
      </c>
      <c r="L50" s="70">
        <f t="shared" si="21"/>
        <v>1.4770549103619413E-2</v>
      </c>
      <c r="M50" s="191"/>
      <c r="N50" s="299">
        <f>(N48+N49)/2</f>
        <v>0</v>
      </c>
      <c r="O50" s="300">
        <f>(O48+O49)/2</f>
        <v>0</v>
      </c>
      <c r="P50" s="300">
        <f>(P48+P49)/2</f>
        <v>0</v>
      </c>
      <c r="Q50" s="301">
        <f>(Q48+Q49)/2</f>
        <v>0</v>
      </c>
      <c r="R50" s="68" t="str">
        <f t="shared" si="22"/>
        <v/>
      </c>
      <c r="S50" s="69" t="str">
        <f t="shared" si="22"/>
        <v/>
      </c>
      <c r="T50" s="70" t="str">
        <f t="shared" si="22"/>
        <v/>
      </c>
      <c r="AH50" s="190"/>
      <c r="AJ50" s="304"/>
    </row>
    <row r="51" spans="1:36" ht="24.75" customHeight="1" x14ac:dyDescent="0.25">
      <c r="A51" s="284"/>
      <c r="B51" s="284"/>
      <c r="C51" s="284"/>
      <c r="D51" s="284"/>
      <c r="E51" s="284"/>
      <c r="AC51" s="186"/>
      <c r="AH51" s="186"/>
      <c r="AI51" s="186"/>
      <c r="AJ51" s="186"/>
    </row>
    <row r="52" spans="1:36" ht="24.75" customHeight="1" x14ac:dyDescent="0.25">
      <c r="A52" s="305"/>
      <c r="B52" s="284"/>
      <c r="C52" s="284"/>
      <c r="D52" s="284"/>
      <c r="E52" s="284"/>
      <c r="V52" s="306"/>
      <c r="W52" s="306"/>
      <c r="X52" s="306"/>
      <c r="Y52" s="306"/>
      <c r="Z52" s="17"/>
      <c r="AA52" s="17"/>
      <c r="AB52" s="17"/>
    </row>
    <row r="53" spans="1:36" ht="24.75" customHeight="1" x14ac:dyDescent="0.25">
      <c r="A53" s="303"/>
      <c r="V53" s="306"/>
      <c r="W53" s="306"/>
      <c r="X53" s="306"/>
      <c r="Y53" s="306"/>
      <c r="Z53" s="17"/>
      <c r="AA53" s="17"/>
      <c r="AB53" s="17"/>
    </row>
    <row r="54" spans="1:36" ht="24.75" customHeight="1" x14ac:dyDescent="0.25">
      <c r="A54" s="303"/>
      <c r="U54" s="191"/>
      <c r="V54" s="306"/>
      <c r="W54" s="306"/>
      <c r="X54" s="306"/>
      <c r="Y54" s="306"/>
      <c r="Z54" s="17"/>
      <c r="AA54" s="17"/>
      <c r="AB54" s="17"/>
    </row>
    <row r="55" spans="1:36" ht="24.75" customHeight="1" x14ac:dyDescent="0.25">
      <c r="A55" s="303"/>
      <c r="U55" s="306"/>
      <c r="V55" s="306"/>
      <c r="W55" s="306"/>
      <c r="X55" s="306"/>
      <c r="Y55" s="306"/>
      <c r="Z55" s="17"/>
      <c r="AA55" s="17"/>
      <c r="AB55" s="17"/>
    </row>
    <row r="56" spans="1:36" ht="24.75" customHeight="1" x14ac:dyDescent="0.25">
      <c r="A56" s="307"/>
      <c r="U56" s="191"/>
      <c r="V56" s="306"/>
      <c r="W56" s="306"/>
      <c r="X56" s="306"/>
      <c r="Y56" s="306"/>
      <c r="Z56" s="17"/>
      <c r="AA56" s="17"/>
      <c r="AB56" s="17"/>
    </row>
    <row r="57" spans="1:36" ht="17.25" customHeight="1" x14ac:dyDescent="0.25">
      <c r="A57" s="190"/>
      <c r="B57" s="190"/>
      <c r="C57" s="190"/>
      <c r="D57" s="190"/>
      <c r="E57" s="190"/>
      <c r="V57" s="306"/>
      <c r="W57" s="306"/>
      <c r="X57" s="306"/>
      <c r="Y57" s="306"/>
      <c r="Z57" s="17"/>
      <c r="AA57" s="17"/>
      <c r="AB57" s="17"/>
    </row>
    <row r="58" spans="1:36" ht="17.25" customHeight="1" x14ac:dyDescent="0.25">
      <c r="A58" s="186"/>
      <c r="B58" s="190"/>
      <c r="C58" s="190"/>
      <c r="D58" s="186"/>
      <c r="E58" s="186"/>
    </row>
  </sheetData>
  <mergeCells count="76">
    <mergeCell ref="D1:U1"/>
    <mergeCell ref="A3:B3"/>
    <mergeCell ref="C3:D3"/>
    <mergeCell ref="A5:B5"/>
    <mergeCell ref="C5:D5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Q13:Q14"/>
    <mergeCell ref="V13:V14"/>
    <mergeCell ref="W13:W14"/>
    <mergeCell ref="X13:X14"/>
    <mergeCell ref="Y13:Y14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Y31:Y32"/>
    <mergeCell ref="F39:L39"/>
    <mergeCell ref="N39:T39"/>
    <mergeCell ref="F40:F41"/>
    <mergeCell ref="G40:G41"/>
    <mergeCell ref="H40:H41"/>
    <mergeCell ref="I40:I41"/>
    <mergeCell ref="N40:N41"/>
    <mergeCell ref="O46:O47"/>
    <mergeCell ref="P46:P47"/>
    <mergeCell ref="Q46:Q47"/>
    <mergeCell ref="W31:W32"/>
    <mergeCell ref="X31:X32"/>
    <mergeCell ref="F46:F47"/>
    <mergeCell ref="G46:G47"/>
    <mergeCell ref="H46:H47"/>
    <mergeCell ref="I46:I47"/>
    <mergeCell ref="N46:N47"/>
    <mergeCell ref="O40:O41"/>
    <mergeCell ref="P40:P41"/>
    <mergeCell ref="Q40:Q41"/>
    <mergeCell ref="F45:L45"/>
    <mergeCell ref="N45:T45"/>
  </mergeCells>
  <conditionalFormatting sqref="F50:M50 U56 U54 F44:T44 F17:AB17 V33:AB33 V36:Y36 V34:Y34 V30:Y30 V24:Y25 V18:Y21 V15:Y16 F26:I26 M26:Q26 U26:Y26 F35:AB35 V27:Y28 V29:AB29">
    <cfRule type="cellIs" dxfId="110" priority="3" stopIfTrue="1" operator="equal">
      <formula>0</formula>
    </cfRule>
  </conditionalFormatting>
  <conditionalFormatting sqref="N50:T50">
    <cfRule type="cellIs" dxfId="109" priority="2" stopIfTrue="1" operator="equal">
      <formula>0</formula>
    </cfRule>
  </conditionalFormatting>
  <conditionalFormatting sqref="F12:I12">
    <cfRule type="cellIs" dxfId="108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M58"/>
  <sheetViews>
    <sheetView showGridLines="0" workbookViewId="0">
      <selection activeCell="F3" sqref="F3"/>
    </sheetView>
  </sheetViews>
  <sheetFormatPr defaultColWidth="9" defaultRowHeight="15.75" customHeight="1" x14ac:dyDescent="0.25"/>
  <cols>
    <col min="1" max="1" width="2.75" style="122" customWidth="1"/>
    <col min="2" max="2" width="18.875" style="122" customWidth="1"/>
    <col min="3" max="3" width="26.625" style="122" customWidth="1"/>
    <col min="4" max="4" width="14.375" style="122" customWidth="1"/>
    <col min="5" max="5" width="3.25" style="122" customWidth="1"/>
    <col min="6" max="9" width="12.375" style="122" customWidth="1"/>
    <col min="10" max="12" width="7" style="122" customWidth="1"/>
    <col min="13" max="13" width="3.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9" style="122"/>
    <col min="257" max="257" width="2.7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25" style="122" customWidth="1"/>
    <col min="262" max="265" width="12.375" style="122" customWidth="1"/>
    <col min="266" max="268" width="7" style="122" customWidth="1"/>
    <col min="269" max="269" width="3.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9" style="122"/>
    <col min="513" max="513" width="2.7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25" style="122" customWidth="1"/>
    <col min="518" max="521" width="12.375" style="122" customWidth="1"/>
    <col min="522" max="524" width="7" style="122" customWidth="1"/>
    <col min="525" max="525" width="3.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9" style="122"/>
    <col min="769" max="769" width="2.7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25" style="122" customWidth="1"/>
    <col min="774" max="777" width="12.375" style="122" customWidth="1"/>
    <col min="778" max="780" width="7" style="122" customWidth="1"/>
    <col min="781" max="781" width="3.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9" style="122"/>
    <col min="1025" max="1025" width="2.7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25" style="122" customWidth="1"/>
    <col min="1030" max="1033" width="12.375" style="122" customWidth="1"/>
    <col min="1034" max="1036" width="7" style="122" customWidth="1"/>
    <col min="1037" max="1037" width="3.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9" style="122"/>
    <col min="1281" max="1281" width="2.7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25" style="122" customWidth="1"/>
    <col min="1286" max="1289" width="12.375" style="122" customWidth="1"/>
    <col min="1290" max="1292" width="7" style="122" customWidth="1"/>
    <col min="1293" max="1293" width="3.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9" style="122"/>
    <col min="1537" max="1537" width="2.7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25" style="122" customWidth="1"/>
    <col min="1542" max="1545" width="12.375" style="122" customWidth="1"/>
    <col min="1546" max="1548" width="7" style="122" customWidth="1"/>
    <col min="1549" max="1549" width="3.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9" style="122"/>
    <col min="1793" max="1793" width="2.7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25" style="122" customWidth="1"/>
    <col min="1798" max="1801" width="12.375" style="122" customWidth="1"/>
    <col min="1802" max="1804" width="7" style="122" customWidth="1"/>
    <col min="1805" max="1805" width="3.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9" style="122"/>
    <col min="2049" max="2049" width="2.7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25" style="122" customWidth="1"/>
    <col min="2054" max="2057" width="12.375" style="122" customWidth="1"/>
    <col min="2058" max="2060" width="7" style="122" customWidth="1"/>
    <col min="2061" max="2061" width="3.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9" style="122"/>
    <col min="2305" max="2305" width="2.7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25" style="122" customWidth="1"/>
    <col min="2310" max="2313" width="12.375" style="122" customWidth="1"/>
    <col min="2314" max="2316" width="7" style="122" customWidth="1"/>
    <col min="2317" max="2317" width="3.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9" style="122"/>
    <col min="2561" max="2561" width="2.7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25" style="122" customWidth="1"/>
    <col min="2566" max="2569" width="12.375" style="122" customWidth="1"/>
    <col min="2570" max="2572" width="7" style="122" customWidth="1"/>
    <col min="2573" max="2573" width="3.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9" style="122"/>
    <col min="2817" max="2817" width="2.7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25" style="122" customWidth="1"/>
    <col min="2822" max="2825" width="12.375" style="122" customWidth="1"/>
    <col min="2826" max="2828" width="7" style="122" customWidth="1"/>
    <col min="2829" max="2829" width="3.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9" style="122"/>
    <col min="3073" max="3073" width="2.7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25" style="122" customWidth="1"/>
    <col min="3078" max="3081" width="12.375" style="122" customWidth="1"/>
    <col min="3082" max="3084" width="7" style="122" customWidth="1"/>
    <col min="3085" max="3085" width="3.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9" style="122"/>
    <col min="3329" max="3329" width="2.7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25" style="122" customWidth="1"/>
    <col min="3334" max="3337" width="12.375" style="122" customWidth="1"/>
    <col min="3338" max="3340" width="7" style="122" customWidth="1"/>
    <col min="3341" max="3341" width="3.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9" style="122"/>
    <col min="3585" max="3585" width="2.7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25" style="122" customWidth="1"/>
    <col min="3590" max="3593" width="12.375" style="122" customWidth="1"/>
    <col min="3594" max="3596" width="7" style="122" customWidth="1"/>
    <col min="3597" max="3597" width="3.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9" style="122"/>
    <col min="3841" max="3841" width="2.7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25" style="122" customWidth="1"/>
    <col min="3846" max="3849" width="12.375" style="122" customWidth="1"/>
    <col min="3850" max="3852" width="7" style="122" customWidth="1"/>
    <col min="3853" max="3853" width="3.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9" style="122"/>
    <col min="4097" max="4097" width="2.7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25" style="122" customWidth="1"/>
    <col min="4102" max="4105" width="12.375" style="122" customWidth="1"/>
    <col min="4106" max="4108" width="7" style="122" customWidth="1"/>
    <col min="4109" max="4109" width="3.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9" style="122"/>
    <col min="4353" max="4353" width="2.7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25" style="122" customWidth="1"/>
    <col min="4358" max="4361" width="12.375" style="122" customWidth="1"/>
    <col min="4362" max="4364" width="7" style="122" customWidth="1"/>
    <col min="4365" max="4365" width="3.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9" style="122"/>
    <col min="4609" max="4609" width="2.7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25" style="122" customWidth="1"/>
    <col min="4614" max="4617" width="12.375" style="122" customWidth="1"/>
    <col min="4618" max="4620" width="7" style="122" customWidth="1"/>
    <col min="4621" max="4621" width="3.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9" style="122"/>
    <col min="4865" max="4865" width="2.7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25" style="122" customWidth="1"/>
    <col min="4870" max="4873" width="12.375" style="122" customWidth="1"/>
    <col min="4874" max="4876" width="7" style="122" customWidth="1"/>
    <col min="4877" max="4877" width="3.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9" style="122"/>
    <col min="5121" max="5121" width="2.7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25" style="122" customWidth="1"/>
    <col min="5126" max="5129" width="12.375" style="122" customWidth="1"/>
    <col min="5130" max="5132" width="7" style="122" customWidth="1"/>
    <col min="5133" max="5133" width="3.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9" style="122"/>
    <col min="5377" max="5377" width="2.7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25" style="122" customWidth="1"/>
    <col min="5382" max="5385" width="12.375" style="122" customWidth="1"/>
    <col min="5386" max="5388" width="7" style="122" customWidth="1"/>
    <col min="5389" max="5389" width="3.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9" style="122"/>
    <col min="5633" max="5633" width="2.7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25" style="122" customWidth="1"/>
    <col min="5638" max="5641" width="12.375" style="122" customWidth="1"/>
    <col min="5642" max="5644" width="7" style="122" customWidth="1"/>
    <col min="5645" max="5645" width="3.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9" style="122"/>
    <col min="5889" max="5889" width="2.7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25" style="122" customWidth="1"/>
    <col min="5894" max="5897" width="12.375" style="122" customWidth="1"/>
    <col min="5898" max="5900" width="7" style="122" customWidth="1"/>
    <col min="5901" max="5901" width="3.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9" style="122"/>
    <col min="6145" max="6145" width="2.7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25" style="122" customWidth="1"/>
    <col min="6150" max="6153" width="12.375" style="122" customWidth="1"/>
    <col min="6154" max="6156" width="7" style="122" customWidth="1"/>
    <col min="6157" max="6157" width="3.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9" style="122"/>
    <col min="6401" max="6401" width="2.7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25" style="122" customWidth="1"/>
    <col min="6406" max="6409" width="12.375" style="122" customWidth="1"/>
    <col min="6410" max="6412" width="7" style="122" customWidth="1"/>
    <col min="6413" max="6413" width="3.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9" style="122"/>
    <col min="6657" max="6657" width="2.7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25" style="122" customWidth="1"/>
    <col min="6662" max="6665" width="12.375" style="122" customWidth="1"/>
    <col min="6666" max="6668" width="7" style="122" customWidth="1"/>
    <col min="6669" max="6669" width="3.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9" style="122"/>
    <col min="6913" max="6913" width="2.7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25" style="122" customWidth="1"/>
    <col min="6918" max="6921" width="12.375" style="122" customWidth="1"/>
    <col min="6922" max="6924" width="7" style="122" customWidth="1"/>
    <col min="6925" max="6925" width="3.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9" style="122"/>
    <col min="7169" max="7169" width="2.7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25" style="122" customWidth="1"/>
    <col min="7174" max="7177" width="12.375" style="122" customWidth="1"/>
    <col min="7178" max="7180" width="7" style="122" customWidth="1"/>
    <col min="7181" max="7181" width="3.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9" style="122"/>
    <col min="7425" max="7425" width="2.7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25" style="122" customWidth="1"/>
    <col min="7430" max="7433" width="12.375" style="122" customWidth="1"/>
    <col min="7434" max="7436" width="7" style="122" customWidth="1"/>
    <col min="7437" max="7437" width="3.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9" style="122"/>
    <col min="7681" max="7681" width="2.7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25" style="122" customWidth="1"/>
    <col min="7686" max="7689" width="12.375" style="122" customWidth="1"/>
    <col min="7690" max="7692" width="7" style="122" customWidth="1"/>
    <col min="7693" max="7693" width="3.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9" style="122"/>
    <col min="7937" max="7937" width="2.7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25" style="122" customWidth="1"/>
    <col min="7942" max="7945" width="12.375" style="122" customWidth="1"/>
    <col min="7946" max="7948" width="7" style="122" customWidth="1"/>
    <col min="7949" max="7949" width="3.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9" style="122"/>
    <col min="8193" max="8193" width="2.7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25" style="122" customWidth="1"/>
    <col min="8198" max="8201" width="12.375" style="122" customWidth="1"/>
    <col min="8202" max="8204" width="7" style="122" customWidth="1"/>
    <col min="8205" max="8205" width="3.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9" style="122"/>
    <col min="8449" max="8449" width="2.7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25" style="122" customWidth="1"/>
    <col min="8454" max="8457" width="12.375" style="122" customWidth="1"/>
    <col min="8458" max="8460" width="7" style="122" customWidth="1"/>
    <col min="8461" max="8461" width="3.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9" style="122"/>
    <col min="8705" max="8705" width="2.7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25" style="122" customWidth="1"/>
    <col min="8710" max="8713" width="12.375" style="122" customWidth="1"/>
    <col min="8714" max="8716" width="7" style="122" customWidth="1"/>
    <col min="8717" max="8717" width="3.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9" style="122"/>
    <col min="8961" max="8961" width="2.7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25" style="122" customWidth="1"/>
    <col min="8966" max="8969" width="12.375" style="122" customWidth="1"/>
    <col min="8970" max="8972" width="7" style="122" customWidth="1"/>
    <col min="8973" max="8973" width="3.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9" style="122"/>
    <col min="9217" max="9217" width="2.7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25" style="122" customWidth="1"/>
    <col min="9222" max="9225" width="12.375" style="122" customWidth="1"/>
    <col min="9226" max="9228" width="7" style="122" customWidth="1"/>
    <col min="9229" max="9229" width="3.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9" style="122"/>
    <col min="9473" max="9473" width="2.7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25" style="122" customWidth="1"/>
    <col min="9478" max="9481" width="12.375" style="122" customWidth="1"/>
    <col min="9482" max="9484" width="7" style="122" customWidth="1"/>
    <col min="9485" max="9485" width="3.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9" style="122"/>
    <col min="9729" max="9729" width="2.7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25" style="122" customWidth="1"/>
    <col min="9734" max="9737" width="12.375" style="122" customWidth="1"/>
    <col min="9738" max="9740" width="7" style="122" customWidth="1"/>
    <col min="9741" max="9741" width="3.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9" style="122"/>
    <col min="9985" max="9985" width="2.7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25" style="122" customWidth="1"/>
    <col min="9990" max="9993" width="12.375" style="122" customWidth="1"/>
    <col min="9994" max="9996" width="7" style="122" customWidth="1"/>
    <col min="9997" max="9997" width="3.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9" style="122"/>
    <col min="10241" max="10241" width="2.7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25" style="122" customWidth="1"/>
    <col min="10246" max="10249" width="12.375" style="122" customWidth="1"/>
    <col min="10250" max="10252" width="7" style="122" customWidth="1"/>
    <col min="10253" max="10253" width="3.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9" style="122"/>
    <col min="10497" max="10497" width="2.7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25" style="122" customWidth="1"/>
    <col min="10502" max="10505" width="12.375" style="122" customWidth="1"/>
    <col min="10506" max="10508" width="7" style="122" customWidth="1"/>
    <col min="10509" max="10509" width="3.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9" style="122"/>
    <col min="10753" max="10753" width="2.7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25" style="122" customWidth="1"/>
    <col min="10758" max="10761" width="12.375" style="122" customWidth="1"/>
    <col min="10762" max="10764" width="7" style="122" customWidth="1"/>
    <col min="10765" max="10765" width="3.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9" style="122"/>
    <col min="11009" max="11009" width="2.7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25" style="122" customWidth="1"/>
    <col min="11014" max="11017" width="12.375" style="122" customWidth="1"/>
    <col min="11018" max="11020" width="7" style="122" customWidth="1"/>
    <col min="11021" max="11021" width="3.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9" style="122"/>
    <col min="11265" max="11265" width="2.7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25" style="122" customWidth="1"/>
    <col min="11270" max="11273" width="12.375" style="122" customWidth="1"/>
    <col min="11274" max="11276" width="7" style="122" customWidth="1"/>
    <col min="11277" max="11277" width="3.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9" style="122"/>
    <col min="11521" max="11521" width="2.7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25" style="122" customWidth="1"/>
    <col min="11526" max="11529" width="12.375" style="122" customWidth="1"/>
    <col min="11530" max="11532" width="7" style="122" customWidth="1"/>
    <col min="11533" max="11533" width="3.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9" style="122"/>
    <col min="11777" max="11777" width="2.7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25" style="122" customWidth="1"/>
    <col min="11782" max="11785" width="12.375" style="122" customWidth="1"/>
    <col min="11786" max="11788" width="7" style="122" customWidth="1"/>
    <col min="11789" max="11789" width="3.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9" style="122"/>
    <col min="12033" max="12033" width="2.7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25" style="122" customWidth="1"/>
    <col min="12038" max="12041" width="12.375" style="122" customWidth="1"/>
    <col min="12042" max="12044" width="7" style="122" customWidth="1"/>
    <col min="12045" max="12045" width="3.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9" style="122"/>
    <col min="12289" max="12289" width="2.7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25" style="122" customWidth="1"/>
    <col min="12294" max="12297" width="12.375" style="122" customWidth="1"/>
    <col min="12298" max="12300" width="7" style="122" customWidth="1"/>
    <col min="12301" max="12301" width="3.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9" style="122"/>
    <col min="12545" max="12545" width="2.7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25" style="122" customWidth="1"/>
    <col min="12550" max="12553" width="12.375" style="122" customWidth="1"/>
    <col min="12554" max="12556" width="7" style="122" customWidth="1"/>
    <col min="12557" max="12557" width="3.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9" style="122"/>
    <col min="12801" max="12801" width="2.7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25" style="122" customWidth="1"/>
    <col min="12806" max="12809" width="12.375" style="122" customWidth="1"/>
    <col min="12810" max="12812" width="7" style="122" customWidth="1"/>
    <col min="12813" max="12813" width="3.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9" style="122"/>
    <col min="13057" max="13057" width="2.7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25" style="122" customWidth="1"/>
    <col min="13062" max="13065" width="12.375" style="122" customWidth="1"/>
    <col min="13066" max="13068" width="7" style="122" customWidth="1"/>
    <col min="13069" max="13069" width="3.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9" style="122"/>
    <col min="13313" max="13313" width="2.7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25" style="122" customWidth="1"/>
    <col min="13318" max="13321" width="12.375" style="122" customWidth="1"/>
    <col min="13322" max="13324" width="7" style="122" customWidth="1"/>
    <col min="13325" max="13325" width="3.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9" style="122"/>
    <col min="13569" max="13569" width="2.7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25" style="122" customWidth="1"/>
    <col min="13574" max="13577" width="12.375" style="122" customWidth="1"/>
    <col min="13578" max="13580" width="7" style="122" customWidth="1"/>
    <col min="13581" max="13581" width="3.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9" style="122"/>
    <col min="13825" max="13825" width="2.7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25" style="122" customWidth="1"/>
    <col min="13830" max="13833" width="12.375" style="122" customWidth="1"/>
    <col min="13834" max="13836" width="7" style="122" customWidth="1"/>
    <col min="13837" max="13837" width="3.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9" style="122"/>
    <col min="14081" max="14081" width="2.7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25" style="122" customWidth="1"/>
    <col min="14086" max="14089" width="12.375" style="122" customWidth="1"/>
    <col min="14090" max="14092" width="7" style="122" customWidth="1"/>
    <col min="14093" max="14093" width="3.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9" style="122"/>
    <col min="14337" max="14337" width="2.7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25" style="122" customWidth="1"/>
    <col min="14342" max="14345" width="12.375" style="122" customWidth="1"/>
    <col min="14346" max="14348" width="7" style="122" customWidth="1"/>
    <col min="14349" max="14349" width="3.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9" style="122"/>
    <col min="14593" max="14593" width="2.7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25" style="122" customWidth="1"/>
    <col min="14598" max="14601" width="12.375" style="122" customWidth="1"/>
    <col min="14602" max="14604" width="7" style="122" customWidth="1"/>
    <col min="14605" max="14605" width="3.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9" style="122"/>
    <col min="14849" max="14849" width="2.7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25" style="122" customWidth="1"/>
    <col min="14854" max="14857" width="12.375" style="122" customWidth="1"/>
    <col min="14858" max="14860" width="7" style="122" customWidth="1"/>
    <col min="14861" max="14861" width="3.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9" style="122"/>
    <col min="15105" max="15105" width="2.7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25" style="122" customWidth="1"/>
    <col min="15110" max="15113" width="12.375" style="122" customWidth="1"/>
    <col min="15114" max="15116" width="7" style="122" customWidth="1"/>
    <col min="15117" max="15117" width="3.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9" style="122"/>
    <col min="15361" max="15361" width="2.7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25" style="122" customWidth="1"/>
    <col min="15366" max="15369" width="12.375" style="122" customWidth="1"/>
    <col min="15370" max="15372" width="7" style="122" customWidth="1"/>
    <col min="15373" max="15373" width="3.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9" style="122"/>
    <col min="15617" max="15617" width="2.7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25" style="122" customWidth="1"/>
    <col min="15622" max="15625" width="12.375" style="122" customWidth="1"/>
    <col min="15626" max="15628" width="7" style="122" customWidth="1"/>
    <col min="15629" max="15629" width="3.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9" style="122"/>
    <col min="15873" max="15873" width="2.7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25" style="122" customWidth="1"/>
    <col min="15878" max="15881" width="12.375" style="122" customWidth="1"/>
    <col min="15882" max="15884" width="7" style="122" customWidth="1"/>
    <col min="15885" max="15885" width="3.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9" style="122"/>
    <col min="16129" max="16129" width="2.7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25" style="122" customWidth="1"/>
    <col min="16134" max="16137" width="12.375" style="122" customWidth="1"/>
    <col min="16138" max="16140" width="7" style="122" customWidth="1"/>
    <col min="16141" max="16141" width="3.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9" style="122"/>
  </cols>
  <sheetData>
    <row r="1" spans="1:39" s="10" customFormat="1" ht="57.75" customHeight="1" x14ac:dyDescent="0.25">
      <c r="A1" s="117" t="s">
        <v>48</v>
      </c>
      <c r="B1" s="36"/>
      <c r="C1" s="35"/>
      <c r="D1" s="408" t="s">
        <v>49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48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50</v>
      </c>
      <c r="B3" s="410"/>
      <c r="C3" s="411" t="s">
        <v>111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52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53</v>
      </c>
      <c r="B5" s="410"/>
      <c r="C5" s="411" t="s">
        <v>112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55</v>
      </c>
      <c r="G6" s="422"/>
      <c r="H6" s="422"/>
      <c r="I6" s="422"/>
      <c r="J6" s="422"/>
      <c r="K6" s="422"/>
      <c r="L6" s="422"/>
      <c r="M6" s="7"/>
      <c r="N6" s="422" t="s">
        <v>56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57</v>
      </c>
      <c r="B7" s="13"/>
      <c r="C7" s="51"/>
      <c r="D7" s="39" t="str">
        <f ca="1">IF(MONTH(TODAY())&lt;6,"( en Nov-Dec   -   Prévision Mars )","( en Mai-Juin   -   Prévision Novembre)")</f>
        <v>( en Mai-Juin   -   Prévision Novembre)</v>
      </c>
      <c r="E7" s="16"/>
      <c r="F7" s="414">
        <v>2015</v>
      </c>
      <c r="G7" s="416">
        <v>2016</v>
      </c>
      <c r="H7" s="416">
        <v>2017</v>
      </c>
      <c r="I7" s="418"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113</v>
      </c>
      <c r="E8" s="16"/>
      <c r="F8" s="415"/>
      <c r="G8" s="417"/>
      <c r="H8" s="417"/>
      <c r="I8" s="419"/>
      <c r="J8" s="31" t="s">
        <v>114</v>
      </c>
      <c r="K8" s="32" t="s">
        <v>115</v>
      </c>
      <c r="L8" s="33" t="s">
        <v>116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59</v>
      </c>
      <c r="C9" s="2"/>
      <c r="D9" s="2"/>
      <c r="E9" s="2"/>
      <c r="F9" s="146">
        <v>6156</v>
      </c>
      <c r="G9" s="146">
        <v>6314</v>
      </c>
      <c r="H9" s="147">
        <v>6180</v>
      </c>
      <c r="I9" s="73">
        <v>6170</v>
      </c>
      <c r="J9" s="56">
        <f t="shared" ref="J9:L12" si="0">IF(OR(G9=0,F9=0),"",G9/F9-1)</f>
        <v>2.5666016894086985E-2</v>
      </c>
      <c r="K9" s="57">
        <f t="shared" si="0"/>
        <v>-2.1222679759265173E-2</v>
      </c>
      <c r="L9" s="58">
        <f t="shared" si="0"/>
        <v>-1.6181229773463146E-3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60</v>
      </c>
      <c r="D10" s="42"/>
      <c r="E10" s="2"/>
      <c r="F10" s="148">
        <v>2057</v>
      </c>
      <c r="G10" s="148">
        <v>1821</v>
      </c>
      <c r="H10" s="149">
        <v>1677</v>
      </c>
      <c r="I10" s="76">
        <v>1660</v>
      </c>
      <c r="J10" s="59">
        <f t="shared" si="0"/>
        <v>-0.11473018959649972</v>
      </c>
      <c r="K10" s="60">
        <f t="shared" si="0"/>
        <v>-7.9077429983525516E-2</v>
      </c>
      <c r="L10" s="61">
        <f t="shared" si="0"/>
        <v>-1.0137149672033385E-2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61</v>
      </c>
      <c r="D11" s="50"/>
      <c r="E11" s="2"/>
      <c r="F11" s="148">
        <v>329</v>
      </c>
      <c r="G11" s="148">
        <v>300</v>
      </c>
      <c r="H11" s="149">
        <v>269</v>
      </c>
      <c r="I11" s="76">
        <v>265</v>
      </c>
      <c r="J11" s="59">
        <f t="shared" si="0"/>
        <v>-8.8145896656534939E-2</v>
      </c>
      <c r="K11" s="60">
        <f t="shared" si="0"/>
        <v>-0.10333333333333339</v>
      </c>
      <c r="L11" s="61">
        <f t="shared" si="0"/>
        <v>-1.4869888475836479E-2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62</v>
      </c>
      <c r="D12" s="42"/>
      <c r="E12" s="2"/>
      <c r="F12" s="126">
        <f>F10+F11</f>
        <v>2386</v>
      </c>
      <c r="G12" s="126">
        <f>G10+G11</f>
        <v>2121</v>
      </c>
      <c r="H12" s="127">
        <f>H10+H11</f>
        <v>1946</v>
      </c>
      <c r="I12" s="100">
        <f>I10+I11</f>
        <v>1925</v>
      </c>
      <c r="J12" s="59">
        <f t="shared" si="0"/>
        <v>-0.1110645431684828</v>
      </c>
      <c r="K12" s="60">
        <f t="shared" si="0"/>
        <v>-8.2508250825082508E-2</v>
      </c>
      <c r="L12" s="61">
        <f t="shared" si="0"/>
        <v>-1.0791366906474864E-2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63</v>
      </c>
      <c r="B13" s="13"/>
      <c r="C13" s="13"/>
      <c r="D13" s="13"/>
      <c r="E13" s="13"/>
      <c r="F13" s="414">
        <f>$F$7</f>
        <v>2015</v>
      </c>
      <c r="G13" s="416">
        <f>F13+1</f>
        <v>2016</v>
      </c>
      <c r="H13" s="416">
        <f>G13+1</f>
        <v>2017</v>
      </c>
      <c r="I13" s="418">
        <f>H13+1</f>
        <v>2018</v>
      </c>
      <c r="J13" s="29"/>
      <c r="K13" s="54" t="s">
        <v>11</v>
      </c>
      <c r="L13" s="30"/>
      <c r="M13" s="14"/>
      <c r="N13" s="414">
        <v>2015</v>
      </c>
      <c r="O13" s="416">
        <v>2016</v>
      </c>
      <c r="P13" s="416">
        <v>2017</v>
      </c>
      <c r="Q13" s="418">
        <v>2018</v>
      </c>
      <c r="R13" s="29"/>
      <c r="S13" s="54" t="s">
        <v>11</v>
      </c>
      <c r="T13" s="30"/>
      <c r="U13" s="14"/>
      <c r="V13" s="414">
        <v>2015</v>
      </c>
      <c r="W13" s="416">
        <v>2016</v>
      </c>
      <c r="X13" s="416">
        <v>2017</v>
      </c>
      <c r="Y13" s="418"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117</v>
      </c>
      <c r="E14" s="13"/>
      <c r="F14" s="415"/>
      <c r="G14" s="417"/>
      <c r="H14" s="417"/>
      <c r="I14" s="419"/>
      <c r="J14" s="31" t="s">
        <v>114</v>
      </c>
      <c r="K14" s="32" t="s">
        <v>115</v>
      </c>
      <c r="L14" s="33" t="s">
        <v>116</v>
      </c>
      <c r="M14" s="14"/>
      <c r="N14" s="415"/>
      <c r="O14" s="417"/>
      <c r="P14" s="417"/>
      <c r="Q14" s="419"/>
      <c r="R14" s="31" t="s">
        <v>114</v>
      </c>
      <c r="S14" s="32" t="s">
        <v>115</v>
      </c>
      <c r="T14" s="33" t="s">
        <v>116</v>
      </c>
      <c r="U14" s="14"/>
      <c r="V14" s="415"/>
      <c r="W14" s="417"/>
      <c r="X14" s="417"/>
      <c r="Y14" s="419"/>
      <c r="Z14" s="31" t="s">
        <v>114</v>
      </c>
      <c r="AA14" s="32" t="s">
        <v>115</v>
      </c>
      <c r="AB14" s="33" t="s">
        <v>116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65</v>
      </c>
      <c r="D15" s="42"/>
      <c r="E15" s="2"/>
      <c r="F15" s="77"/>
      <c r="G15" s="78"/>
      <c r="H15" s="78"/>
      <c r="I15" s="79"/>
      <c r="J15" s="62" t="str">
        <f t="shared" ref="J15:L21" si="1">IF(OR(G15=0,F15=0),"",G15/F15-1)</f>
        <v/>
      </c>
      <c r="K15" s="63" t="str">
        <f t="shared" si="1"/>
        <v/>
      </c>
      <c r="L15" s="64" t="str">
        <f t="shared" si="1"/>
        <v/>
      </c>
      <c r="N15" s="77"/>
      <c r="O15" s="78"/>
      <c r="P15" s="78"/>
      <c r="Q15" s="79"/>
      <c r="R15" s="62" t="str">
        <f t="shared" ref="R15:T21" si="2">IF(OR(O15=0,N15=0),"",O15/N15-1)</f>
        <v/>
      </c>
      <c r="S15" s="63" t="str">
        <f t="shared" si="2"/>
        <v/>
      </c>
      <c r="T15" s="64" t="str">
        <f t="shared" si="2"/>
        <v/>
      </c>
      <c r="V15" s="86">
        <f t="shared" ref="V15:Y16" si="3">F15+N15</f>
        <v>0</v>
      </c>
      <c r="W15" s="87">
        <f t="shared" si="3"/>
        <v>0</v>
      </c>
      <c r="X15" s="87">
        <f t="shared" si="3"/>
        <v>0</v>
      </c>
      <c r="Y15" s="88">
        <f t="shared" si="3"/>
        <v>0</v>
      </c>
      <c r="Z15" s="59" t="str">
        <f t="shared" ref="Z15:AB21" si="4">IF(OR(W15=0,V15=0),"",W15/V15-1)</f>
        <v/>
      </c>
      <c r="AA15" s="60" t="str">
        <f t="shared" si="4"/>
        <v/>
      </c>
      <c r="AB15" s="61" t="str">
        <f t="shared" si="4"/>
        <v/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66</v>
      </c>
      <c r="D16" s="43"/>
      <c r="E16" s="2"/>
      <c r="F16" s="80"/>
      <c r="G16" s="81"/>
      <c r="H16" s="81"/>
      <c r="I16" s="82"/>
      <c r="J16" s="65" t="str">
        <f t="shared" si="1"/>
        <v/>
      </c>
      <c r="K16" s="66" t="str">
        <f t="shared" si="1"/>
        <v/>
      </c>
      <c r="L16" s="67" t="str">
        <f t="shared" si="1"/>
        <v/>
      </c>
      <c r="N16" s="80"/>
      <c r="O16" s="81"/>
      <c r="P16" s="81"/>
      <c r="Q16" s="82"/>
      <c r="R16" s="65" t="str">
        <f t="shared" si="2"/>
        <v/>
      </c>
      <c r="S16" s="66" t="str">
        <f t="shared" si="2"/>
        <v/>
      </c>
      <c r="T16" s="67" t="str">
        <f t="shared" si="2"/>
        <v/>
      </c>
      <c r="V16" s="89">
        <f t="shared" si="3"/>
        <v>0</v>
      </c>
      <c r="W16" s="90">
        <f t="shared" si="3"/>
        <v>0</v>
      </c>
      <c r="X16" s="90">
        <f t="shared" si="3"/>
        <v>0</v>
      </c>
      <c r="Y16" s="91">
        <f t="shared" si="3"/>
        <v>0</v>
      </c>
      <c r="Z16" s="68" t="str">
        <f t="shared" si="4"/>
        <v/>
      </c>
      <c r="AA16" s="69" t="str">
        <f t="shared" si="4"/>
        <v/>
      </c>
      <c r="AB16" s="70" t="str">
        <f t="shared" si="4"/>
        <v/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67</v>
      </c>
      <c r="D17" s="42"/>
      <c r="E17" s="2"/>
      <c r="F17" s="150">
        <v>580</v>
      </c>
      <c r="G17" s="150">
        <v>572</v>
      </c>
      <c r="H17" s="151">
        <v>584</v>
      </c>
      <c r="I17" s="152">
        <v>586</v>
      </c>
      <c r="J17" s="153">
        <f t="shared" si="1"/>
        <v>-1.379310344827589E-2</v>
      </c>
      <c r="K17" s="154">
        <f t="shared" si="1"/>
        <v>2.0979020979021046E-2</v>
      </c>
      <c r="L17" s="155">
        <f t="shared" si="1"/>
        <v>3.424657534246478E-3</v>
      </c>
      <c r="M17" s="7">
        <f>M15+M16</f>
        <v>0</v>
      </c>
      <c r="N17" s="98">
        <v>70</v>
      </c>
      <c r="O17" s="99">
        <v>67</v>
      </c>
      <c r="P17" s="99">
        <v>70</v>
      </c>
      <c r="Q17" s="100">
        <v>71</v>
      </c>
      <c r="R17" s="68">
        <f t="shared" si="2"/>
        <v>-4.2857142857142816E-2</v>
      </c>
      <c r="S17" s="69">
        <f t="shared" si="2"/>
        <v>4.4776119402984982E-2</v>
      </c>
      <c r="T17" s="70">
        <f t="shared" si="2"/>
        <v>1.4285714285714235E-2</v>
      </c>
      <c r="U17" s="7"/>
      <c r="V17" s="156">
        <f>SUM(F17,N17)</f>
        <v>650</v>
      </c>
      <c r="W17" s="156">
        <f>SUM(G17,O17)</f>
        <v>639</v>
      </c>
      <c r="X17" s="157">
        <f>SUM(H17,P17)</f>
        <v>654</v>
      </c>
      <c r="Y17" s="127">
        <f>SUM(I17,Q17)</f>
        <v>657</v>
      </c>
      <c r="Z17" s="68">
        <f t="shared" si="4"/>
        <v>-1.692307692307693E-2</v>
      </c>
      <c r="AA17" s="69">
        <f t="shared" si="4"/>
        <v>2.3474178403755763E-2</v>
      </c>
      <c r="AB17" s="70">
        <f t="shared" si="4"/>
        <v>4.5871559633028358E-3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68</v>
      </c>
      <c r="D18" s="120" t="s">
        <v>39</v>
      </c>
      <c r="E18" s="2"/>
      <c r="F18" s="148">
        <v>206</v>
      </c>
      <c r="G18" s="148">
        <v>224</v>
      </c>
      <c r="H18" s="149">
        <v>225</v>
      </c>
      <c r="I18" s="76">
        <v>225</v>
      </c>
      <c r="J18" s="59">
        <f t="shared" si="1"/>
        <v>8.737864077669899E-2</v>
      </c>
      <c r="K18" s="60">
        <f t="shared" si="1"/>
        <v>4.4642857142858094E-3</v>
      </c>
      <c r="L18" s="61">
        <f t="shared" si="1"/>
        <v>0</v>
      </c>
      <c r="N18" s="148">
        <v>14</v>
      </c>
      <c r="O18" s="148">
        <v>16</v>
      </c>
      <c r="P18" s="149">
        <v>15</v>
      </c>
      <c r="Q18" s="76">
        <v>14</v>
      </c>
      <c r="R18" s="59">
        <f t="shared" si="2"/>
        <v>0.14285714285714279</v>
      </c>
      <c r="S18" s="60">
        <f t="shared" si="2"/>
        <v>-6.25E-2</v>
      </c>
      <c r="T18" s="61">
        <f t="shared" si="2"/>
        <v>-6.6666666666666652E-2</v>
      </c>
      <c r="V18" s="158">
        <f t="shared" ref="V18:Y21" si="5">F18+N18</f>
        <v>220</v>
      </c>
      <c r="W18" s="158">
        <f t="shared" si="5"/>
        <v>240</v>
      </c>
      <c r="X18" s="159">
        <f t="shared" si="5"/>
        <v>240</v>
      </c>
      <c r="Y18" s="94">
        <f t="shared" si="5"/>
        <v>239</v>
      </c>
      <c r="Z18" s="59">
        <f t="shared" si="4"/>
        <v>9.0909090909090828E-2</v>
      </c>
      <c r="AA18" s="60">
        <f t="shared" si="4"/>
        <v>0</v>
      </c>
      <c r="AB18" s="61">
        <f t="shared" si="4"/>
        <v>-4.1666666666666519E-3</v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160"/>
      <c r="G19" s="160"/>
      <c r="H19" s="161"/>
      <c r="I19" s="85"/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/>
      <c r="O19" s="84"/>
      <c r="P19" s="84"/>
      <c r="Q19" s="85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162">
        <f t="shared" si="5"/>
        <v>0</v>
      </c>
      <c r="W19" s="162">
        <f t="shared" si="5"/>
        <v>0</v>
      </c>
      <c r="X19" s="163">
        <f t="shared" si="5"/>
        <v>0</v>
      </c>
      <c r="Y19" s="97">
        <f t="shared" si="5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69</v>
      </c>
      <c r="D20" s="120" t="s">
        <v>39</v>
      </c>
      <c r="E20" s="2"/>
      <c r="F20" s="148">
        <v>4</v>
      </c>
      <c r="G20" s="148">
        <v>3</v>
      </c>
      <c r="H20" s="149">
        <v>2</v>
      </c>
      <c r="I20" s="76">
        <v>1</v>
      </c>
      <c r="J20" s="59">
        <f t="shared" si="1"/>
        <v>-0.25</v>
      </c>
      <c r="K20" s="60">
        <f t="shared" si="1"/>
        <v>-0.33333333333333337</v>
      </c>
      <c r="L20" s="61">
        <f t="shared" si="1"/>
        <v>-0.5</v>
      </c>
      <c r="N20" s="74">
        <v>1</v>
      </c>
      <c r="O20" s="75">
        <v>0</v>
      </c>
      <c r="P20" s="75">
        <v>0</v>
      </c>
      <c r="Q20" s="76"/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158">
        <f t="shared" si="5"/>
        <v>5</v>
      </c>
      <c r="W20" s="158">
        <f t="shared" si="5"/>
        <v>3</v>
      </c>
      <c r="X20" s="159">
        <f t="shared" si="5"/>
        <v>2</v>
      </c>
      <c r="Y20" s="94">
        <f t="shared" si="5"/>
        <v>1</v>
      </c>
      <c r="Z20" s="59">
        <f t="shared" si="4"/>
        <v>-0.4</v>
      </c>
      <c r="AA20" s="60">
        <f t="shared" si="4"/>
        <v>-0.33333333333333337</v>
      </c>
      <c r="AB20" s="61">
        <f t="shared" si="4"/>
        <v>-0.5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160"/>
      <c r="G21" s="160"/>
      <c r="H21" s="161"/>
      <c r="I21" s="85"/>
      <c r="J21" s="68" t="str">
        <f t="shared" si="1"/>
        <v/>
      </c>
      <c r="K21" s="69" t="str">
        <f t="shared" si="1"/>
        <v/>
      </c>
      <c r="L21" s="70" t="str">
        <f t="shared" si="1"/>
        <v/>
      </c>
      <c r="N21" s="83"/>
      <c r="O21" s="84"/>
      <c r="P21" s="84"/>
      <c r="Q21" s="85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162">
        <f t="shared" si="5"/>
        <v>0</v>
      </c>
      <c r="W21" s="162">
        <f t="shared" si="5"/>
        <v>0</v>
      </c>
      <c r="X21" s="163">
        <f t="shared" si="5"/>
        <v>0</v>
      </c>
      <c r="Y21" s="97">
        <f t="shared" si="5"/>
        <v>0</v>
      </c>
      <c r="Z21" s="68" t="str">
        <f t="shared" si="4"/>
        <v/>
      </c>
      <c r="AA21" s="69" t="str">
        <f t="shared" si="4"/>
        <v/>
      </c>
      <c r="AB21" s="70" t="str">
        <f t="shared" si="4"/>
        <v/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70</v>
      </c>
      <c r="B22" s="13"/>
      <c r="C22" s="51"/>
      <c r="D22" s="51"/>
      <c r="E22" s="13"/>
      <c r="F22" s="414">
        <f>$F$7</f>
        <v>2015</v>
      </c>
      <c r="G22" s="416">
        <f>F22+1</f>
        <v>2016</v>
      </c>
      <c r="H22" s="416">
        <f>G22+1</f>
        <v>2017</v>
      </c>
      <c r="I22" s="418">
        <f>H22+1</f>
        <v>2018</v>
      </c>
      <c r="J22" s="29"/>
      <c r="K22" s="54" t="s">
        <v>11</v>
      </c>
      <c r="L22" s="30"/>
      <c r="M22" s="14"/>
      <c r="N22" s="414">
        <v>2015</v>
      </c>
      <c r="O22" s="416">
        <v>2016</v>
      </c>
      <c r="P22" s="416">
        <v>2017</v>
      </c>
      <c r="Q22" s="418">
        <v>2018</v>
      </c>
      <c r="R22" s="29"/>
      <c r="S22" s="54" t="s">
        <v>11</v>
      </c>
      <c r="T22" s="30"/>
      <c r="U22" s="14"/>
      <c r="V22" s="414">
        <v>2015</v>
      </c>
      <c r="W22" s="416">
        <v>2016</v>
      </c>
      <c r="X22" s="416">
        <v>2017</v>
      </c>
      <c r="Y22" s="418"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118</v>
      </c>
      <c r="E23" s="13"/>
      <c r="F23" s="415"/>
      <c r="G23" s="417"/>
      <c r="H23" s="417"/>
      <c r="I23" s="419"/>
      <c r="J23" s="31" t="s">
        <v>114</v>
      </c>
      <c r="K23" s="32" t="s">
        <v>115</v>
      </c>
      <c r="L23" s="33" t="s">
        <v>116</v>
      </c>
      <c r="M23" s="14"/>
      <c r="N23" s="415"/>
      <c r="O23" s="417"/>
      <c r="P23" s="417"/>
      <c r="Q23" s="419"/>
      <c r="R23" s="31" t="s">
        <v>114</v>
      </c>
      <c r="S23" s="32" t="s">
        <v>115</v>
      </c>
      <c r="T23" s="33" t="s">
        <v>116</v>
      </c>
      <c r="U23" s="14"/>
      <c r="V23" s="415"/>
      <c r="W23" s="417"/>
      <c r="X23" s="417"/>
      <c r="Y23" s="419"/>
      <c r="Z23" s="31" t="s">
        <v>114</v>
      </c>
      <c r="AA23" s="32" t="s">
        <v>115</v>
      </c>
      <c r="AB23" s="33" t="s">
        <v>116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65</v>
      </c>
      <c r="D24" s="42"/>
      <c r="E24" s="2"/>
      <c r="F24" s="164"/>
      <c r="G24" s="164"/>
      <c r="H24" s="165"/>
      <c r="I24" s="79"/>
      <c r="J24" s="59" t="str">
        <f t="shared" ref="J24:L30" si="6">IF(OR(G24=0,F24=0),"",G24/F24-1)</f>
        <v/>
      </c>
      <c r="K24" s="60" t="str">
        <f t="shared" si="6"/>
        <v/>
      </c>
      <c r="L24" s="61" t="str">
        <f t="shared" si="6"/>
        <v/>
      </c>
      <c r="N24" s="164"/>
      <c r="O24" s="164"/>
      <c r="P24" s="165"/>
      <c r="Q24" s="79"/>
      <c r="R24" s="59" t="str">
        <f t="shared" ref="R24:T30" si="7">IF(OR(O24=0,N24=0),"",O24/N24-1)</f>
        <v/>
      </c>
      <c r="S24" s="60" t="str">
        <f t="shared" si="7"/>
        <v/>
      </c>
      <c r="T24" s="61" t="str">
        <f t="shared" si="7"/>
        <v/>
      </c>
      <c r="V24" s="166">
        <f t="shared" ref="V24:Y25" si="8">F24+N24</f>
        <v>0</v>
      </c>
      <c r="W24" s="166">
        <f t="shared" si="8"/>
        <v>0</v>
      </c>
      <c r="X24" s="167">
        <f t="shared" si="8"/>
        <v>0</v>
      </c>
      <c r="Y24" s="88">
        <f t="shared" si="8"/>
        <v>0</v>
      </c>
      <c r="Z24" s="59" t="str">
        <f t="shared" ref="Z24:AB30" si="9">IF(OR(W24=0,V24=0),"",W24/V24-1)</f>
        <v/>
      </c>
      <c r="AA24" s="60" t="str">
        <f t="shared" si="9"/>
        <v/>
      </c>
      <c r="AB24" s="61" t="str">
        <f t="shared" si="9"/>
        <v/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66</v>
      </c>
      <c r="D25" s="43"/>
      <c r="E25" s="2"/>
      <c r="F25" s="168"/>
      <c r="G25" s="168"/>
      <c r="H25" s="169"/>
      <c r="I25" s="82"/>
      <c r="J25" s="68" t="str">
        <f t="shared" si="6"/>
        <v/>
      </c>
      <c r="K25" s="69" t="str">
        <f t="shared" si="6"/>
        <v/>
      </c>
      <c r="L25" s="70" t="str">
        <f t="shared" si="6"/>
        <v/>
      </c>
      <c r="N25" s="168"/>
      <c r="O25" s="168"/>
      <c r="P25" s="169"/>
      <c r="Q25" s="82"/>
      <c r="R25" s="68" t="str">
        <f t="shared" si="7"/>
        <v/>
      </c>
      <c r="S25" s="69" t="str">
        <f t="shared" si="7"/>
        <v/>
      </c>
      <c r="T25" s="70" t="str">
        <f t="shared" si="7"/>
        <v/>
      </c>
      <c r="V25" s="170">
        <f t="shared" si="8"/>
        <v>0</v>
      </c>
      <c r="W25" s="170">
        <f t="shared" si="8"/>
        <v>0</v>
      </c>
      <c r="X25" s="171">
        <f t="shared" si="8"/>
        <v>0</v>
      </c>
      <c r="Y25" s="122">
        <f t="shared" si="8"/>
        <v>0</v>
      </c>
      <c r="Z25" s="68" t="str">
        <f t="shared" si="9"/>
        <v/>
      </c>
      <c r="AA25" s="69" t="str">
        <f t="shared" si="9"/>
        <v/>
      </c>
      <c r="AB25" s="70" t="str">
        <f t="shared" si="9"/>
        <v/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67</v>
      </c>
      <c r="D26" s="42"/>
      <c r="E26" s="2"/>
      <c r="F26" s="156">
        <f>SUM(F17)+F18-F20</f>
        <v>782</v>
      </c>
      <c r="G26" s="156">
        <f>SUM(G17)+G18-G20</f>
        <v>793</v>
      </c>
      <c r="H26" s="157">
        <f>SUM(H17)+H18-H20</f>
        <v>807</v>
      </c>
      <c r="I26" s="172">
        <f>SUM(I17)+I18-I20</f>
        <v>810</v>
      </c>
      <c r="J26" s="68">
        <f t="shared" si="6"/>
        <v>1.406649616368294E-2</v>
      </c>
      <c r="K26" s="69">
        <f t="shared" si="6"/>
        <v>1.7654476670870167E-2</v>
      </c>
      <c r="L26" s="70">
        <f t="shared" si="6"/>
        <v>3.7174721189590088E-3</v>
      </c>
      <c r="M26" s="7"/>
      <c r="N26" s="125">
        <f>SUM(N17)+N18-N20</f>
        <v>83</v>
      </c>
      <c r="O26" s="126">
        <f>SUM(O17)+O18-O20</f>
        <v>83</v>
      </c>
      <c r="P26" s="126">
        <f>SUM(P17)+P18-P20</f>
        <v>85</v>
      </c>
      <c r="Q26" s="100">
        <f>SUM(Q17)+Q18-Q20</f>
        <v>85</v>
      </c>
      <c r="R26" s="68">
        <f t="shared" si="7"/>
        <v>0</v>
      </c>
      <c r="S26" s="69">
        <f t="shared" si="7"/>
        <v>2.4096385542168752E-2</v>
      </c>
      <c r="T26" s="70">
        <f t="shared" si="7"/>
        <v>0</v>
      </c>
      <c r="U26" s="7"/>
      <c r="V26" s="156">
        <f>SUM(N26,F26)</f>
        <v>865</v>
      </c>
      <c r="W26" s="157">
        <f>SUM(O26,G26)</f>
        <v>876</v>
      </c>
      <c r="X26" s="156">
        <f>SUM(P26,H26)</f>
        <v>892</v>
      </c>
      <c r="Y26" s="100">
        <f>SUM(Q26,I26)</f>
        <v>895</v>
      </c>
      <c r="Z26" s="68">
        <f t="shared" si="9"/>
        <v>1.2716763005780285E-2</v>
      </c>
      <c r="AA26" s="69">
        <f t="shared" si="9"/>
        <v>1.8264840182648401E-2</v>
      </c>
      <c r="AB26" s="70">
        <f t="shared" si="9"/>
        <v>3.3632286995515237E-3</v>
      </c>
      <c r="AD26" s="157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72</v>
      </c>
      <c r="D27" s="120" t="s">
        <v>39</v>
      </c>
      <c r="E27" s="2"/>
      <c r="F27" s="148">
        <v>290</v>
      </c>
      <c r="G27" s="148">
        <v>270</v>
      </c>
      <c r="H27" s="149">
        <v>260</v>
      </c>
      <c r="I27" s="124">
        <v>250</v>
      </c>
      <c r="J27" s="59">
        <f t="shared" si="6"/>
        <v>-6.8965517241379337E-2</v>
      </c>
      <c r="K27" s="60">
        <f t="shared" si="6"/>
        <v>-3.703703703703709E-2</v>
      </c>
      <c r="L27" s="61">
        <f t="shared" si="6"/>
        <v>-3.8461538461538436E-2</v>
      </c>
      <c r="N27" s="148">
        <v>60</v>
      </c>
      <c r="O27" s="148">
        <v>52</v>
      </c>
      <c r="P27" s="149">
        <v>50</v>
      </c>
      <c r="Q27" s="149">
        <v>45</v>
      </c>
      <c r="R27" s="59">
        <f t="shared" si="7"/>
        <v>-0.1333333333333333</v>
      </c>
      <c r="S27" s="60">
        <f t="shared" si="7"/>
        <v>-3.8461538461538436E-2</v>
      </c>
      <c r="T27" s="61">
        <f t="shared" si="7"/>
        <v>-9.9999999999999978E-2</v>
      </c>
      <c r="V27" s="158">
        <f t="shared" ref="V27:Y30" si="10">F27+N27</f>
        <v>350</v>
      </c>
      <c r="W27" s="158">
        <f t="shared" si="10"/>
        <v>322</v>
      </c>
      <c r="X27" s="159">
        <f t="shared" si="10"/>
        <v>310</v>
      </c>
      <c r="Y27" s="94">
        <f t="shared" si="10"/>
        <v>295</v>
      </c>
      <c r="Z27" s="59">
        <f t="shared" si="9"/>
        <v>-7.999999999999996E-2</v>
      </c>
      <c r="AA27" s="60">
        <f t="shared" si="9"/>
        <v>-3.7267080745341574E-2</v>
      </c>
      <c r="AB27" s="61">
        <f t="shared" si="9"/>
        <v>-4.8387096774193505E-2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160">
        <v>40</v>
      </c>
      <c r="G28" s="160">
        <v>38</v>
      </c>
      <c r="H28" s="161">
        <v>35</v>
      </c>
      <c r="I28" s="85">
        <v>35</v>
      </c>
      <c r="J28" s="68">
        <f t="shared" si="6"/>
        <v>-5.0000000000000044E-2</v>
      </c>
      <c r="K28" s="69">
        <f t="shared" si="6"/>
        <v>-7.8947368421052655E-2</v>
      </c>
      <c r="L28" s="70">
        <f t="shared" si="6"/>
        <v>0</v>
      </c>
      <c r="N28" s="160"/>
      <c r="O28" s="160"/>
      <c r="P28" s="161"/>
      <c r="Q28" s="161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162">
        <f t="shared" si="10"/>
        <v>40</v>
      </c>
      <c r="W28" s="162">
        <f t="shared" si="10"/>
        <v>38</v>
      </c>
      <c r="X28" s="163">
        <f t="shared" si="10"/>
        <v>35</v>
      </c>
      <c r="Y28" s="97">
        <f t="shared" si="10"/>
        <v>35</v>
      </c>
      <c r="Z28" s="68">
        <f t="shared" si="9"/>
        <v>-5.0000000000000044E-2</v>
      </c>
      <c r="AA28" s="69">
        <f t="shared" si="9"/>
        <v>-7.8947368421052655E-2</v>
      </c>
      <c r="AB28" s="70">
        <f t="shared" si="9"/>
        <v>0</v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73</v>
      </c>
      <c r="D29" s="120" t="s">
        <v>39</v>
      </c>
      <c r="E29" s="2"/>
      <c r="F29" s="148">
        <v>120</v>
      </c>
      <c r="G29" s="148">
        <v>124</v>
      </c>
      <c r="H29" s="149">
        <v>120</v>
      </c>
      <c r="I29" s="76">
        <v>120</v>
      </c>
      <c r="J29" s="59">
        <f t="shared" si="6"/>
        <v>3.3333333333333437E-2</v>
      </c>
      <c r="K29" s="60">
        <f t="shared" si="6"/>
        <v>-3.2258064516129004E-2</v>
      </c>
      <c r="L29" s="61">
        <f t="shared" si="6"/>
        <v>0</v>
      </c>
      <c r="N29" s="148">
        <v>0</v>
      </c>
      <c r="O29" s="148">
        <v>0</v>
      </c>
      <c r="P29" s="149">
        <v>0</v>
      </c>
      <c r="Q29" s="149">
        <v>0</v>
      </c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158">
        <f t="shared" si="10"/>
        <v>120</v>
      </c>
      <c r="W29" s="158">
        <f t="shared" si="10"/>
        <v>124</v>
      </c>
      <c r="X29" s="159">
        <f t="shared" si="10"/>
        <v>120</v>
      </c>
      <c r="Y29" s="94">
        <f t="shared" si="10"/>
        <v>120</v>
      </c>
      <c r="Z29" s="59">
        <f t="shared" si="9"/>
        <v>3.3333333333333437E-2</v>
      </c>
      <c r="AA29" s="60">
        <f t="shared" si="9"/>
        <v>-3.2258064516129004E-2</v>
      </c>
      <c r="AB29" s="61">
        <f t="shared" si="9"/>
        <v>0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160">
        <v>10</v>
      </c>
      <c r="G30" s="160">
        <v>12</v>
      </c>
      <c r="H30" s="161">
        <v>10</v>
      </c>
      <c r="I30" s="85">
        <v>20</v>
      </c>
      <c r="J30" s="68">
        <f t="shared" si="6"/>
        <v>0.19999999999999996</v>
      </c>
      <c r="K30" s="69">
        <f t="shared" si="6"/>
        <v>-0.16666666666666663</v>
      </c>
      <c r="L30" s="70">
        <f t="shared" si="6"/>
        <v>1</v>
      </c>
      <c r="N30" s="160"/>
      <c r="O30" s="160"/>
      <c r="P30" s="161"/>
      <c r="Q30" s="161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162">
        <f t="shared" si="10"/>
        <v>10</v>
      </c>
      <c r="W30" s="162">
        <f t="shared" si="10"/>
        <v>12</v>
      </c>
      <c r="X30" s="163">
        <f t="shared" si="10"/>
        <v>10</v>
      </c>
      <c r="Y30" s="97">
        <f t="shared" si="10"/>
        <v>20</v>
      </c>
      <c r="Z30" s="65">
        <f t="shared" si="9"/>
        <v>0.19999999999999996</v>
      </c>
      <c r="AA30" s="66">
        <f t="shared" si="9"/>
        <v>-0.16666666666666663</v>
      </c>
      <c r="AB30" s="67">
        <f t="shared" si="9"/>
        <v>1</v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74</v>
      </c>
      <c r="B31" s="13"/>
      <c r="C31" s="51"/>
      <c r="D31" s="51"/>
      <c r="E31" s="13"/>
      <c r="F31" s="414">
        <f>$F$7</f>
        <v>2015</v>
      </c>
      <c r="G31" s="416">
        <f>F31+1</f>
        <v>2016</v>
      </c>
      <c r="H31" s="416">
        <f>G31+1</f>
        <v>2017</v>
      </c>
      <c r="I31" s="418">
        <f>H31+1</f>
        <v>2018</v>
      </c>
      <c r="J31" s="29"/>
      <c r="K31" s="54" t="s">
        <v>11</v>
      </c>
      <c r="L31" s="30"/>
      <c r="M31" s="14"/>
      <c r="N31" s="414">
        <v>2015</v>
      </c>
      <c r="O31" s="416">
        <v>2016</v>
      </c>
      <c r="P31" s="416">
        <v>2017</v>
      </c>
      <c r="Q31" s="418">
        <v>2018</v>
      </c>
      <c r="R31" s="29"/>
      <c r="S31" s="54" t="s">
        <v>11</v>
      </c>
      <c r="T31" s="30"/>
      <c r="U31" s="14"/>
      <c r="V31" s="414">
        <v>2015</v>
      </c>
      <c r="W31" s="416">
        <v>2016</v>
      </c>
      <c r="X31" s="416">
        <v>2017</v>
      </c>
      <c r="Y31" s="418"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">
        <v>114</v>
      </c>
      <c r="K32" s="32" t="s">
        <v>115</v>
      </c>
      <c r="L32" s="33" t="s">
        <v>116</v>
      </c>
      <c r="M32" s="14"/>
      <c r="N32" s="415"/>
      <c r="O32" s="417"/>
      <c r="P32" s="417"/>
      <c r="Q32" s="419"/>
      <c r="R32" s="31" t="s">
        <v>114</v>
      </c>
      <c r="S32" s="32" t="s">
        <v>115</v>
      </c>
      <c r="T32" s="33" t="s">
        <v>116</v>
      </c>
      <c r="U32" s="14"/>
      <c r="V32" s="415"/>
      <c r="W32" s="417"/>
      <c r="X32" s="417"/>
      <c r="Y32" s="419"/>
      <c r="Z32" s="31" t="s">
        <v>114</v>
      </c>
      <c r="AA32" s="32" t="s">
        <v>115</v>
      </c>
      <c r="AB32" s="33" t="s">
        <v>116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65</v>
      </c>
      <c r="D33" s="42"/>
      <c r="E33" s="2"/>
      <c r="F33" s="156"/>
      <c r="G33" s="156"/>
      <c r="H33" s="157"/>
      <c r="I33" s="79"/>
      <c r="J33" s="62" t="str">
        <f t="shared" ref="J33:L36" si="11">IF(OR(G33=0,F33=0),"",G33/F33-1)</f>
        <v/>
      </c>
      <c r="K33" s="63" t="str">
        <f t="shared" si="11"/>
        <v/>
      </c>
      <c r="L33" s="64" t="str">
        <f t="shared" si="11"/>
        <v/>
      </c>
      <c r="N33" s="77"/>
      <c r="O33" s="78"/>
      <c r="P33" s="78"/>
      <c r="Q33" s="79"/>
      <c r="R33" s="62" t="str">
        <f t="shared" ref="R33:T36" si="12">IF(OR(O33=0,N33=0),"",O33/N33-1)</f>
        <v/>
      </c>
      <c r="S33" s="63" t="str">
        <f t="shared" si="12"/>
        <v/>
      </c>
      <c r="T33" s="64" t="str">
        <f t="shared" si="12"/>
        <v/>
      </c>
      <c r="V33" s="86">
        <f t="shared" ref="V33:Y34" si="13">F33+N33</f>
        <v>0</v>
      </c>
      <c r="W33" s="87">
        <f t="shared" si="13"/>
        <v>0</v>
      </c>
      <c r="X33" s="87">
        <f t="shared" si="13"/>
        <v>0</v>
      </c>
      <c r="Y33" s="88">
        <f t="shared" si="13"/>
        <v>0</v>
      </c>
      <c r="Z33" s="62" t="str">
        <f t="shared" ref="Z33:AB36" si="14">IF(OR(W33=0,V33=0),"",W33/V33-1)</f>
        <v/>
      </c>
      <c r="AA33" s="63" t="str">
        <f t="shared" si="14"/>
        <v/>
      </c>
      <c r="AB33" s="64" t="str">
        <f t="shared" si="14"/>
        <v/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66</v>
      </c>
      <c r="D34" s="43"/>
      <c r="E34" s="2"/>
      <c r="F34" s="173"/>
      <c r="G34" s="173"/>
      <c r="H34" s="174"/>
      <c r="I34" s="82"/>
      <c r="J34" s="65" t="str">
        <f t="shared" si="11"/>
        <v/>
      </c>
      <c r="K34" s="66" t="str">
        <f t="shared" si="11"/>
        <v/>
      </c>
      <c r="L34" s="67" t="str">
        <f t="shared" si="11"/>
        <v/>
      </c>
      <c r="N34" s="80"/>
      <c r="O34" s="81"/>
      <c r="P34" s="81"/>
      <c r="Q34" s="82"/>
      <c r="R34" s="65" t="str">
        <f t="shared" si="12"/>
        <v/>
      </c>
      <c r="S34" s="66" t="str">
        <f t="shared" si="12"/>
        <v/>
      </c>
      <c r="T34" s="67" t="str">
        <f t="shared" si="12"/>
        <v/>
      </c>
      <c r="V34" s="89">
        <f t="shared" si="13"/>
        <v>0</v>
      </c>
      <c r="W34" s="90">
        <f t="shared" si="13"/>
        <v>0</v>
      </c>
      <c r="X34" s="90">
        <f t="shared" si="13"/>
        <v>0</v>
      </c>
      <c r="Y34" s="91">
        <f t="shared" si="13"/>
        <v>0</v>
      </c>
      <c r="Z34" s="65" t="str">
        <f t="shared" si="14"/>
        <v/>
      </c>
      <c r="AA34" s="66" t="str">
        <f t="shared" si="14"/>
        <v/>
      </c>
      <c r="AB34" s="67" t="str">
        <f t="shared" si="14"/>
        <v/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67</v>
      </c>
      <c r="D35" s="42"/>
      <c r="E35" s="2"/>
      <c r="F35" s="156">
        <f>SUM(F26)+F27-F29-F30</f>
        <v>942</v>
      </c>
      <c r="G35" s="156">
        <f>SUM(G26)+G27-G29-G30</f>
        <v>927</v>
      </c>
      <c r="H35" s="157">
        <f>SUM(H26)+H27-H29-H30</f>
        <v>937</v>
      </c>
      <c r="I35" s="127">
        <f>SUM(I26)+I27-I29-I30</f>
        <v>920</v>
      </c>
      <c r="J35" s="68">
        <f t="shared" si="11"/>
        <v>-1.5923566878980888E-2</v>
      </c>
      <c r="K35" s="69">
        <f t="shared" si="11"/>
        <v>1.0787486515641875E-2</v>
      </c>
      <c r="L35" s="70">
        <f t="shared" si="11"/>
        <v>-1.8143009605122717E-2</v>
      </c>
      <c r="M35" s="7"/>
      <c r="N35" s="156">
        <f>SUM(N26)+N27-N29-N30</f>
        <v>143</v>
      </c>
      <c r="O35" s="156">
        <f>SUM(O26)+O27-O29-O30</f>
        <v>135</v>
      </c>
      <c r="P35" s="157">
        <f>SUM(P26)+P27-P29-P30</f>
        <v>135</v>
      </c>
      <c r="Q35" s="100">
        <f>SUM(Q26)+Q27-Q29-Q30</f>
        <v>130</v>
      </c>
      <c r="R35" s="68">
        <f t="shared" si="12"/>
        <v>-5.5944055944055937E-2</v>
      </c>
      <c r="S35" s="69">
        <v>-5.5944055944055937E-2</v>
      </c>
      <c r="T35" s="70">
        <f t="shared" si="12"/>
        <v>-3.703703703703709E-2</v>
      </c>
      <c r="U35" s="7"/>
      <c r="V35" s="156">
        <f>SUM(N35,F35)</f>
        <v>1085</v>
      </c>
      <c r="W35" s="156">
        <f>SUM(O35,G35)</f>
        <v>1062</v>
      </c>
      <c r="X35" s="157">
        <f>SUM(P35,H35)</f>
        <v>1072</v>
      </c>
      <c r="Y35" s="127">
        <f>SUM(Q35,I35)</f>
        <v>1050</v>
      </c>
      <c r="Z35" s="68">
        <f t="shared" si="14"/>
        <v>-2.1198156682027625E-2</v>
      </c>
      <c r="AA35" s="69">
        <f t="shared" si="14"/>
        <v>9.4161958568739212E-3</v>
      </c>
      <c r="AB35" s="70">
        <f t="shared" si="14"/>
        <v>-2.0522388059701524E-2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75</v>
      </c>
      <c r="D36" s="52"/>
      <c r="E36" s="11"/>
      <c r="F36" s="173">
        <v>18.5</v>
      </c>
      <c r="G36" s="173">
        <v>18</v>
      </c>
      <c r="H36" s="174">
        <v>18</v>
      </c>
      <c r="I36" s="85">
        <v>18</v>
      </c>
      <c r="J36" s="68">
        <f t="shared" si="11"/>
        <v>-2.7027027027026973E-2</v>
      </c>
      <c r="K36" s="69">
        <f t="shared" si="11"/>
        <v>0</v>
      </c>
      <c r="L36" s="70">
        <f t="shared" si="11"/>
        <v>0</v>
      </c>
      <c r="N36" s="173">
        <v>2.2999999999999998</v>
      </c>
      <c r="O36" s="173">
        <v>2.2000000000000002</v>
      </c>
      <c r="P36" s="174">
        <v>2.1</v>
      </c>
      <c r="Q36" s="85">
        <v>2</v>
      </c>
      <c r="R36" s="68">
        <f t="shared" si="12"/>
        <v>-4.3478260869565077E-2</v>
      </c>
      <c r="S36" s="69">
        <f t="shared" si="12"/>
        <v>-4.5454545454545525E-2</v>
      </c>
      <c r="T36" s="70">
        <f t="shared" si="12"/>
        <v>-4.7619047619047672E-2</v>
      </c>
      <c r="V36" s="95">
        <f>F36+N36</f>
        <v>20.8</v>
      </c>
      <c r="W36" s="96">
        <f>G36+O36</f>
        <v>20.2</v>
      </c>
      <c r="X36" s="96">
        <f>H36+P36</f>
        <v>20.100000000000001</v>
      </c>
      <c r="Y36" s="97">
        <f>I36+Q36</f>
        <v>20</v>
      </c>
      <c r="Z36" s="68">
        <f t="shared" si="14"/>
        <v>-2.8846153846153966E-2</v>
      </c>
      <c r="AA36" s="69">
        <f t="shared" si="14"/>
        <v>-4.9504950495048439E-3</v>
      </c>
      <c r="AB36" s="70">
        <f t="shared" si="14"/>
        <v>-4.9751243781095411E-3</v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76</v>
      </c>
      <c r="B38" s="13"/>
      <c r="C38" s="53"/>
      <c r="D38" s="111" t="s">
        <v>119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120</v>
      </c>
      <c r="E39" s="14"/>
      <c r="F39" s="422" t="s">
        <v>79</v>
      </c>
      <c r="G39" s="422"/>
      <c r="H39" s="422"/>
      <c r="I39" s="422"/>
      <c r="J39" s="422"/>
      <c r="K39" s="422"/>
      <c r="L39" s="422"/>
      <c r="M39" s="14"/>
      <c r="N39" s="422" t="s">
        <v>80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F40+1</f>
        <v>2016</v>
      </c>
      <c r="H40" s="416">
        <f>G40+1</f>
        <v>2017</v>
      </c>
      <c r="I40" s="418">
        <f>H40+1</f>
        <v>2018</v>
      </c>
      <c r="J40" s="29"/>
      <c r="K40" s="54" t="s">
        <v>11</v>
      </c>
      <c r="L40" s="30"/>
      <c r="N40" s="414">
        <v>2015</v>
      </c>
      <c r="O40" s="416">
        <v>2016</v>
      </c>
      <c r="P40" s="416">
        <v>2017</v>
      </c>
      <c r="Q40" s="418"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">
        <v>114</v>
      </c>
      <c r="K41" s="32" t="s">
        <v>115</v>
      </c>
      <c r="L41" s="33" t="s">
        <v>116</v>
      </c>
      <c r="N41" s="415"/>
      <c r="O41" s="417"/>
      <c r="P41" s="417"/>
      <c r="Q41" s="419"/>
      <c r="R41" s="31" t="s">
        <v>114</v>
      </c>
      <c r="S41" s="32" t="s">
        <v>115</v>
      </c>
      <c r="T41" s="33" t="s">
        <v>116</v>
      </c>
    </row>
    <row r="42" spans="1:39" ht="24.75" customHeight="1" x14ac:dyDescent="0.25">
      <c r="A42" s="49"/>
      <c r="B42" s="49"/>
      <c r="C42" s="46" t="s">
        <v>81</v>
      </c>
      <c r="D42" s="49"/>
      <c r="E42" s="49"/>
      <c r="F42" s="102">
        <v>3.84</v>
      </c>
      <c r="G42" s="102">
        <v>3.83</v>
      </c>
      <c r="H42" s="103">
        <v>3.89</v>
      </c>
      <c r="I42" s="103">
        <v>3.86</v>
      </c>
      <c r="J42" s="62">
        <f t="shared" ref="J42:L44" si="15">IF(OR(G42=0,F42=0),"",G42/F42-1)</f>
        <v>-2.6041666666666297E-3</v>
      </c>
      <c r="K42" s="63">
        <f t="shared" si="15"/>
        <v>1.5665796344647598E-2</v>
      </c>
      <c r="L42" s="64">
        <f t="shared" si="15"/>
        <v>-7.7120822622108731E-3</v>
      </c>
      <c r="N42" s="101">
        <v>4.57</v>
      </c>
      <c r="O42" s="102">
        <v>4.8</v>
      </c>
      <c r="P42" s="102">
        <v>4.95</v>
      </c>
      <c r="Q42" s="103">
        <v>5.2</v>
      </c>
      <c r="R42" s="62">
        <f t="shared" ref="R42:T44" si="16">IF(OR(O42=0,N42=0),"",O42/N42-1)</f>
        <v>5.032822757111588E-2</v>
      </c>
      <c r="S42" s="63">
        <f t="shared" si="16"/>
        <v>3.125E-2</v>
      </c>
      <c r="T42" s="64">
        <f t="shared" si="16"/>
        <v>5.0505050505050608E-2</v>
      </c>
      <c r="AG42" s="9"/>
      <c r="AJ42" s="2"/>
    </row>
    <row r="43" spans="1:39" ht="24.75" customHeight="1" x14ac:dyDescent="0.25">
      <c r="A43" s="49"/>
      <c r="B43" s="49"/>
      <c r="C43" s="47" t="s">
        <v>82</v>
      </c>
      <c r="D43" s="43"/>
      <c r="E43" s="49"/>
      <c r="F43" s="105">
        <v>3.78</v>
      </c>
      <c r="G43" s="105">
        <v>3.81</v>
      </c>
      <c r="H43" s="106">
        <v>3.96</v>
      </c>
      <c r="I43" s="106">
        <v>3.9</v>
      </c>
      <c r="J43" s="65">
        <f t="shared" si="15"/>
        <v>7.9365079365079083E-3</v>
      </c>
      <c r="K43" s="66">
        <f t="shared" si="15"/>
        <v>3.937007874015741E-2</v>
      </c>
      <c r="L43" s="67">
        <f t="shared" si="15"/>
        <v>-1.5151515151515138E-2</v>
      </c>
      <c r="N43" s="104">
        <v>4.8600000000000003</v>
      </c>
      <c r="O43" s="105">
        <v>4.83</v>
      </c>
      <c r="P43" s="105">
        <v>4.8</v>
      </c>
      <c r="Q43" s="106">
        <v>5.0999999999999996</v>
      </c>
      <c r="R43" s="65">
        <f t="shared" si="16"/>
        <v>-6.1728395061728669E-3</v>
      </c>
      <c r="S43" s="66">
        <f t="shared" si="16"/>
        <v>-6.2111801242236142E-3</v>
      </c>
      <c r="T43" s="67">
        <f t="shared" si="16"/>
        <v>6.25E-2</v>
      </c>
      <c r="AJ43" s="6"/>
    </row>
    <row r="44" spans="1:39" ht="24.75" customHeight="1" x14ac:dyDescent="0.25">
      <c r="A44" s="20"/>
      <c r="B44" s="20"/>
      <c r="D44" s="48" t="s">
        <v>83</v>
      </c>
      <c r="E44" s="49"/>
      <c r="F44" s="108">
        <f>(F42+F43)/2</f>
        <v>3.8099999999999996</v>
      </c>
      <c r="G44" s="108">
        <f>(G42+G43)/2</f>
        <v>3.8200000000000003</v>
      </c>
      <c r="H44" s="109">
        <f>(H42+H43)/2</f>
        <v>3.9249999999999998</v>
      </c>
      <c r="I44" s="109">
        <f>(I42+I43)/2</f>
        <v>3.88</v>
      </c>
      <c r="J44" s="68">
        <f t="shared" si="15"/>
        <v>2.624671916010568E-3</v>
      </c>
      <c r="K44" s="69">
        <f t="shared" si="15"/>
        <v>2.7486910994764191E-2</v>
      </c>
      <c r="L44" s="70">
        <f t="shared" si="15"/>
        <v>-1.1464968152866239E-2</v>
      </c>
      <c r="M44" s="7"/>
      <c r="N44" s="107">
        <f>(N42+N43)/2</f>
        <v>4.7149999999999999</v>
      </c>
      <c r="O44" s="108">
        <f>(O42+O43)/2</f>
        <v>4.8149999999999995</v>
      </c>
      <c r="P44" s="108">
        <f>(P42+P43)/2</f>
        <v>4.875</v>
      </c>
      <c r="Q44" s="109">
        <f>(Q42+Q43)/2</f>
        <v>5.15</v>
      </c>
      <c r="R44" s="68">
        <f t="shared" si="16"/>
        <v>2.1208907741251171E-2</v>
      </c>
      <c r="S44" s="69">
        <f t="shared" si="16"/>
        <v>1.2461059190031154E-2</v>
      </c>
      <c r="T44" s="70">
        <f t="shared" si="16"/>
        <v>5.6410256410256432E-2</v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84</v>
      </c>
      <c r="G45" s="422"/>
      <c r="H45" s="422"/>
      <c r="I45" s="422"/>
      <c r="J45" s="422"/>
      <c r="K45" s="422"/>
      <c r="L45" s="422"/>
      <c r="M45" s="7"/>
      <c r="N45" s="422" t="s">
        <v>85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F46+1</f>
        <v>2016</v>
      </c>
      <c r="H46" s="416">
        <f>G46+1</f>
        <v>2017</v>
      </c>
      <c r="I46" s="418">
        <f>H46+1</f>
        <v>2018</v>
      </c>
      <c r="J46" s="29"/>
      <c r="K46" s="54" t="s">
        <v>11</v>
      </c>
      <c r="L46" s="30"/>
      <c r="M46" s="7"/>
      <c r="N46" s="414">
        <v>2015</v>
      </c>
      <c r="O46" s="416">
        <v>2016</v>
      </c>
      <c r="P46" s="416">
        <v>2017</v>
      </c>
      <c r="Q46" s="418"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">
        <v>114</v>
      </c>
      <c r="K47" s="32" t="s">
        <v>115</v>
      </c>
      <c r="L47" s="33" t="s">
        <v>116</v>
      </c>
      <c r="N47" s="415"/>
      <c r="O47" s="417"/>
      <c r="P47" s="417"/>
      <c r="Q47" s="419"/>
      <c r="R47" s="31" t="s">
        <v>114</v>
      </c>
      <c r="S47" s="32" t="s">
        <v>115</v>
      </c>
      <c r="T47" s="33" t="s">
        <v>116</v>
      </c>
      <c r="AJ47" s="6"/>
    </row>
    <row r="48" spans="1:39" ht="24.75" customHeight="1" x14ac:dyDescent="0.25">
      <c r="A48" s="49"/>
      <c r="B48" s="22"/>
      <c r="C48" s="46" t="s">
        <v>81</v>
      </c>
      <c r="D48" s="49"/>
      <c r="E48" s="49"/>
      <c r="F48" s="101">
        <v>2.69</v>
      </c>
      <c r="G48" s="102">
        <v>2.52</v>
      </c>
      <c r="H48" s="102">
        <v>2.67</v>
      </c>
      <c r="I48" s="103">
        <v>2.65</v>
      </c>
      <c r="J48" s="62">
        <f t="shared" ref="J48:L50" si="17">IF(OR(G48=0,F48=0),"",G48/F48-1)</f>
        <v>-6.3197026022304814E-2</v>
      </c>
      <c r="K48" s="63">
        <f t="shared" si="17"/>
        <v>5.9523809523809534E-2</v>
      </c>
      <c r="L48" s="64">
        <f t="shared" si="17"/>
        <v>-7.4906367041198685E-3</v>
      </c>
      <c r="N48" s="102"/>
      <c r="O48" s="102"/>
      <c r="P48" s="103"/>
      <c r="Q48" s="103"/>
      <c r="R48" s="62" t="str">
        <f t="shared" ref="R48:T50" si="18">IF(OR(O48=0,N48=0),"",O48/N48-1)</f>
        <v/>
      </c>
      <c r="S48" s="63" t="str">
        <f t="shared" si="18"/>
        <v/>
      </c>
      <c r="T48" s="64" t="str">
        <f t="shared" si="18"/>
        <v/>
      </c>
      <c r="AF48" s="8"/>
      <c r="AJ48" s="2"/>
    </row>
    <row r="49" spans="1:36" ht="24.75" customHeight="1" x14ac:dyDescent="0.25">
      <c r="A49" s="20"/>
      <c r="B49" s="20"/>
      <c r="C49" s="47" t="s">
        <v>82</v>
      </c>
      <c r="D49" s="43"/>
      <c r="E49" s="49"/>
      <c r="F49" s="104">
        <v>2.54</v>
      </c>
      <c r="G49" s="105">
        <v>2.52</v>
      </c>
      <c r="H49" s="105">
        <v>2.79</v>
      </c>
      <c r="I49" s="106">
        <v>2.75</v>
      </c>
      <c r="J49" s="65">
        <f t="shared" si="17"/>
        <v>-7.8740157480314821E-3</v>
      </c>
      <c r="K49" s="66">
        <f t="shared" si="17"/>
        <v>0.10714285714285721</v>
      </c>
      <c r="L49" s="67">
        <f t="shared" si="17"/>
        <v>-1.4336917562724039E-2</v>
      </c>
      <c r="N49" s="105"/>
      <c r="O49" s="105"/>
      <c r="P49" s="106"/>
      <c r="Q49" s="106"/>
      <c r="R49" s="65" t="str">
        <f t="shared" si="18"/>
        <v/>
      </c>
      <c r="S49" s="66" t="str">
        <f t="shared" si="18"/>
        <v/>
      </c>
      <c r="T49" s="67" t="str">
        <f t="shared" si="18"/>
        <v/>
      </c>
      <c r="AH49" s="2"/>
      <c r="AJ49" s="2"/>
    </row>
    <row r="50" spans="1:36" ht="24.75" customHeight="1" x14ac:dyDescent="0.25">
      <c r="A50" s="20"/>
      <c r="B50" s="20"/>
      <c r="D50" s="48" t="s">
        <v>83</v>
      </c>
      <c r="E50" s="49"/>
      <c r="F50" s="107">
        <f>(F48+F49)/2</f>
        <v>2.6150000000000002</v>
      </c>
      <c r="G50" s="108">
        <f>(G48+G49)/2</f>
        <v>2.52</v>
      </c>
      <c r="H50" s="108">
        <f>(H48+H49)/2</f>
        <v>2.73</v>
      </c>
      <c r="I50" s="109">
        <f>(I48+I49)/2</f>
        <v>2.7</v>
      </c>
      <c r="J50" s="68">
        <f t="shared" si="17"/>
        <v>-3.6328871892925552E-2</v>
      </c>
      <c r="K50" s="69">
        <f t="shared" si="17"/>
        <v>8.3333333333333259E-2</v>
      </c>
      <c r="L50" s="70">
        <f t="shared" si="17"/>
        <v>-1.098901098901095E-2</v>
      </c>
      <c r="M50" s="7"/>
      <c r="N50" s="107">
        <f>(N48+N49)/2</f>
        <v>0</v>
      </c>
      <c r="O50" s="108">
        <f>(O48+O49)/2</f>
        <v>0</v>
      </c>
      <c r="P50" s="108">
        <f>(P48+P49)/2</f>
        <v>0</v>
      </c>
      <c r="Q50" s="109">
        <f>(Q48+Q49)/2</f>
        <v>0</v>
      </c>
      <c r="R50" s="68" t="str">
        <f t="shared" si="18"/>
        <v/>
      </c>
      <c r="S50" s="69" t="str">
        <f t="shared" si="18"/>
        <v/>
      </c>
      <c r="T50" s="70" t="str">
        <f t="shared" si="18"/>
        <v/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P46:P47"/>
    <mergeCell ref="Q46:Q47"/>
    <mergeCell ref="P40:P41"/>
    <mergeCell ref="Q40:Q41"/>
    <mergeCell ref="F45:L45"/>
    <mergeCell ref="N45:T45"/>
    <mergeCell ref="F46:F47"/>
    <mergeCell ref="G46:G47"/>
    <mergeCell ref="H46:H47"/>
    <mergeCell ref="I46:I47"/>
    <mergeCell ref="N46:N47"/>
    <mergeCell ref="O46:O47"/>
    <mergeCell ref="F40:F41"/>
    <mergeCell ref="G40:G41"/>
    <mergeCell ref="H40:H41"/>
    <mergeCell ref="I40:I41"/>
    <mergeCell ref="N40:N41"/>
    <mergeCell ref="O40:O41"/>
    <mergeCell ref="Q31:Q32"/>
    <mergeCell ref="V31:V32"/>
    <mergeCell ref="W31:W32"/>
    <mergeCell ref="X31:X32"/>
    <mergeCell ref="Y31:Y32"/>
    <mergeCell ref="F39:L39"/>
    <mergeCell ref="N39:T39"/>
    <mergeCell ref="W22:W23"/>
    <mergeCell ref="X22:X23"/>
    <mergeCell ref="Y22:Y23"/>
    <mergeCell ref="F31:F32"/>
    <mergeCell ref="G31:G32"/>
    <mergeCell ref="H31:H32"/>
    <mergeCell ref="I31:I32"/>
    <mergeCell ref="N31:N32"/>
    <mergeCell ref="O31:O32"/>
    <mergeCell ref="P31:P32"/>
    <mergeCell ref="Y13:Y14"/>
    <mergeCell ref="F22:F23"/>
    <mergeCell ref="G22:G23"/>
    <mergeCell ref="H22:H23"/>
    <mergeCell ref="I22:I23"/>
    <mergeCell ref="N22:N23"/>
    <mergeCell ref="O22:O23"/>
    <mergeCell ref="P22:P23"/>
    <mergeCell ref="Q22:Q23"/>
    <mergeCell ref="V22:V23"/>
    <mergeCell ref="O13:O14"/>
    <mergeCell ref="P13:P14"/>
    <mergeCell ref="Q13:Q14"/>
    <mergeCell ref="V13:V14"/>
    <mergeCell ref="W13:W14"/>
    <mergeCell ref="X13:X14"/>
    <mergeCell ref="F13:F14"/>
    <mergeCell ref="G13:G14"/>
    <mergeCell ref="H13:H14"/>
    <mergeCell ref="I13:I14"/>
    <mergeCell ref="N13:N14"/>
    <mergeCell ref="F6:L6"/>
    <mergeCell ref="N6:T6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I44:T44 I17:U17 I26 V33:AB33 V36:Y36 I35:M35 V34:Y34 Y30 Y29:AB29 Y18:Y21 V15:Y16 M26:Q26 Q35:U35 Y17:AB17 Z35:AB35 V27:X30 Y27:Y28 V24:Y24 V25:X25 U26:Y26">
    <cfRule type="cellIs" dxfId="55" priority="14" stopIfTrue="1" operator="equal">
      <formula>0</formula>
    </cfRule>
  </conditionalFormatting>
  <conditionalFormatting sqref="N50:T50">
    <cfRule type="cellIs" dxfId="54" priority="13" stopIfTrue="1" operator="equal">
      <formula>0</formula>
    </cfRule>
  </conditionalFormatting>
  <conditionalFormatting sqref="I12">
    <cfRule type="cellIs" dxfId="53" priority="12" stopIfTrue="1" operator="equal">
      <formula>0</formula>
    </cfRule>
  </conditionalFormatting>
  <conditionalFormatting sqref="F12:H12">
    <cfRule type="cellIs" dxfId="52" priority="11" stopIfTrue="1" operator="equal">
      <formula>0</formula>
    </cfRule>
  </conditionalFormatting>
  <conditionalFormatting sqref="F17:H17">
    <cfRule type="cellIs" dxfId="51" priority="10" stopIfTrue="1" operator="equal">
      <formula>0</formula>
    </cfRule>
  </conditionalFormatting>
  <conditionalFormatting sqref="F26:H26">
    <cfRule type="cellIs" dxfId="50" priority="9" stopIfTrue="1" operator="equal">
      <formula>0</formula>
    </cfRule>
  </conditionalFormatting>
  <conditionalFormatting sqref="F33:H33">
    <cfRule type="cellIs" dxfId="49" priority="8" stopIfTrue="1" operator="equal">
      <formula>0</formula>
    </cfRule>
  </conditionalFormatting>
  <conditionalFormatting sqref="F35:H35">
    <cfRule type="cellIs" dxfId="48" priority="7" stopIfTrue="1" operator="equal">
      <formula>0</formula>
    </cfRule>
  </conditionalFormatting>
  <conditionalFormatting sqref="F44:H44">
    <cfRule type="cellIs" dxfId="47" priority="6" stopIfTrue="1" operator="equal">
      <formula>0</formula>
    </cfRule>
  </conditionalFormatting>
  <conditionalFormatting sqref="N35:P35">
    <cfRule type="cellIs" dxfId="46" priority="5" stopIfTrue="1" operator="equal">
      <formula>0</formula>
    </cfRule>
  </conditionalFormatting>
  <conditionalFormatting sqref="V17:X21">
    <cfRule type="cellIs" dxfId="45" priority="4" stopIfTrue="1" operator="equal">
      <formula>0</formula>
    </cfRule>
  </conditionalFormatting>
  <conditionalFormatting sqref="AD26">
    <cfRule type="cellIs" dxfId="44" priority="1" stopIfTrue="1" operator="equal">
      <formula>0</formula>
    </cfRule>
  </conditionalFormatting>
  <conditionalFormatting sqref="Y35">
    <cfRule type="cellIs" dxfId="43" priority="3" stopIfTrue="1" operator="equal">
      <formula>0</formula>
    </cfRule>
  </conditionalFormatting>
  <conditionalFormatting sqref="V35:X35">
    <cfRule type="cellIs" dxfId="42" priority="2" stopIfTrue="1" operator="equal">
      <formula>0</formula>
    </cfRule>
  </conditionalFormatting>
  <pageMargins left="0.11811023622047245" right="0" top="0.74803149606299213" bottom="0.74803149606299213" header="0.31496062992125984" footer="0.31496062992125984"/>
  <pageSetup scale="59" fitToWidth="0" orientation="landscape" r:id="rId1"/>
  <headerFooter>
    <oddFooter>&amp;L&amp;"Helvetica,Regular"&amp;11&amp;K000000	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AM58"/>
  <sheetViews>
    <sheetView showGridLines="0" zoomScale="70" zoomScaleNormal="70" workbookViewId="0">
      <selection activeCell="M5" sqref="M5"/>
    </sheetView>
  </sheetViews>
  <sheetFormatPr defaultRowHeight="15.75" x14ac:dyDescent="0.25"/>
  <cols>
    <col min="1" max="1" width="2.625" style="122" customWidth="1"/>
    <col min="2" max="2" width="18.875" style="122" customWidth="1"/>
    <col min="3" max="3" width="26.625" style="122" customWidth="1"/>
    <col min="4" max="4" width="14.375" style="122" customWidth="1"/>
    <col min="5" max="5" width="3.125" style="122" customWidth="1"/>
    <col min="6" max="9" width="12.375" style="122" customWidth="1"/>
    <col min="10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9" style="122"/>
    <col min="257" max="257" width="2.62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125" style="122" customWidth="1"/>
    <col min="262" max="265" width="12.375" style="122" customWidth="1"/>
    <col min="266" max="268" width="7" style="122" customWidth="1"/>
    <col min="269" max="269" width="3.1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9" style="122"/>
    <col min="513" max="513" width="2.62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125" style="122" customWidth="1"/>
    <col min="518" max="521" width="12.375" style="122" customWidth="1"/>
    <col min="522" max="524" width="7" style="122" customWidth="1"/>
    <col min="525" max="525" width="3.1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9" style="122"/>
    <col min="769" max="769" width="2.62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125" style="122" customWidth="1"/>
    <col min="774" max="777" width="12.375" style="122" customWidth="1"/>
    <col min="778" max="780" width="7" style="122" customWidth="1"/>
    <col min="781" max="781" width="3.1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9" style="122"/>
    <col min="1025" max="1025" width="2.62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125" style="122" customWidth="1"/>
    <col min="1030" max="1033" width="12.375" style="122" customWidth="1"/>
    <col min="1034" max="1036" width="7" style="122" customWidth="1"/>
    <col min="1037" max="1037" width="3.1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9" style="122"/>
    <col min="1281" max="1281" width="2.62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125" style="122" customWidth="1"/>
    <col min="1286" max="1289" width="12.375" style="122" customWidth="1"/>
    <col min="1290" max="1292" width="7" style="122" customWidth="1"/>
    <col min="1293" max="1293" width="3.1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9" style="122"/>
    <col min="1537" max="1537" width="2.62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125" style="122" customWidth="1"/>
    <col min="1542" max="1545" width="12.375" style="122" customWidth="1"/>
    <col min="1546" max="1548" width="7" style="122" customWidth="1"/>
    <col min="1549" max="1549" width="3.1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9" style="122"/>
    <col min="1793" max="1793" width="2.62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125" style="122" customWidth="1"/>
    <col min="1798" max="1801" width="12.375" style="122" customWidth="1"/>
    <col min="1802" max="1804" width="7" style="122" customWidth="1"/>
    <col min="1805" max="1805" width="3.1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9" style="122"/>
    <col min="2049" max="2049" width="2.62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125" style="122" customWidth="1"/>
    <col min="2054" max="2057" width="12.375" style="122" customWidth="1"/>
    <col min="2058" max="2060" width="7" style="122" customWidth="1"/>
    <col min="2061" max="2061" width="3.1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9" style="122"/>
    <col min="2305" max="2305" width="2.62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125" style="122" customWidth="1"/>
    <col min="2310" max="2313" width="12.375" style="122" customWidth="1"/>
    <col min="2314" max="2316" width="7" style="122" customWidth="1"/>
    <col min="2317" max="2317" width="3.1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9" style="122"/>
    <col min="2561" max="2561" width="2.62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125" style="122" customWidth="1"/>
    <col min="2566" max="2569" width="12.375" style="122" customWidth="1"/>
    <col min="2570" max="2572" width="7" style="122" customWidth="1"/>
    <col min="2573" max="2573" width="3.1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9" style="122"/>
    <col min="2817" max="2817" width="2.62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125" style="122" customWidth="1"/>
    <col min="2822" max="2825" width="12.375" style="122" customWidth="1"/>
    <col min="2826" max="2828" width="7" style="122" customWidth="1"/>
    <col min="2829" max="2829" width="3.1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9" style="122"/>
    <col min="3073" max="3073" width="2.62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125" style="122" customWidth="1"/>
    <col min="3078" max="3081" width="12.375" style="122" customWidth="1"/>
    <col min="3082" max="3084" width="7" style="122" customWidth="1"/>
    <col min="3085" max="3085" width="3.1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9" style="122"/>
    <col min="3329" max="3329" width="2.62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125" style="122" customWidth="1"/>
    <col min="3334" max="3337" width="12.375" style="122" customWidth="1"/>
    <col min="3338" max="3340" width="7" style="122" customWidth="1"/>
    <col min="3341" max="3341" width="3.1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9" style="122"/>
    <col min="3585" max="3585" width="2.62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125" style="122" customWidth="1"/>
    <col min="3590" max="3593" width="12.375" style="122" customWidth="1"/>
    <col min="3594" max="3596" width="7" style="122" customWidth="1"/>
    <col min="3597" max="3597" width="3.1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9" style="122"/>
    <col min="3841" max="3841" width="2.62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125" style="122" customWidth="1"/>
    <col min="3846" max="3849" width="12.375" style="122" customWidth="1"/>
    <col min="3850" max="3852" width="7" style="122" customWidth="1"/>
    <col min="3853" max="3853" width="3.1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9" style="122"/>
    <col min="4097" max="4097" width="2.62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125" style="122" customWidth="1"/>
    <col min="4102" max="4105" width="12.375" style="122" customWidth="1"/>
    <col min="4106" max="4108" width="7" style="122" customWidth="1"/>
    <col min="4109" max="4109" width="3.1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9" style="122"/>
    <col min="4353" max="4353" width="2.62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125" style="122" customWidth="1"/>
    <col min="4358" max="4361" width="12.375" style="122" customWidth="1"/>
    <col min="4362" max="4364" width="7" style="122" customWidth="1"/>
    <col min="4365" max="4365" width="3.1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9" style="122"/>
    <col min="4609" max="4609" width="2.62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125" style="122" customWidth="1"/>
    <col min="4614" max="4617" width="12.375" style="122" customWidth="1"/>
    <col min="4618" max="4620" width="7" style="122" customWidth="1"/>
    <col min="4621" max="4621" width="3.1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9" style="122"/>
    <col min="4865" max="4865" width="2.62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125" style="122" customWidth="1"/>
    <col min="4870" max="4873" width="12.375" style="122" customWidth="1"/>
    <col min="4874" max="4876" width="7" style="122" customWidth="1"/>
    <col min="4877" max="4877" width="3.1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9" style="122"/>
    <col min="5121" max="5121" width="2.62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125" style="122" customWidth="1"/>
    <col min="5126" max="5129" width="12.375" style="122" customWidth="1"/>
    <col min="5130" max="5132" width="7" style="122" customWidth="1"/>
    <col min="5133" max="5133" width="3.1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9" style="122"/>
    <col min="5377" max="5377" width="2.62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125" style="122" customWidth="1"/>
    <col min="5382" max="5385" width="12.375" style="122" customWidth="1"/>
    <col min="5386" max="5388" width="7" style="122" customWidth="1"/>
    <col min="5389" max="5389" width="3.1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9" style="122"/>
    <col min="5633" max="5633" width="2.62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125" style="122" customWidth="1"/>
    <col min="5638" max="5641" width="12.375" style="122" customWidth="1"/>
    <col min="5642" max="5644" width="7" style="122" customWidth="1"/>
    <col min="5645" max="5645" width="3.1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9" style="122"/>
    <col min="5889" max="5889" width="2.62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125" style="122" customWidth="1"/>
    <col min="5894" max="5897" width="12.375" style="122" customWidth="1"/>
    <col min="5898" max="5900" width="7" style="122" customWidth="1"/>
    <col min="5901" max="5901" width="3.1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9" style="122"/>
    <col min="6145" max="6145" width="2.62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125" style="122" customWidth="1"/>
    <col min="6150" max="6153" width="12.375" style="122" customWidth="1"/>
    <col min="6154" max="6156" width="7" style="122" customWidth="1"/>
    <col min="6157" max="6157" width="3.1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9" style="122"/>
    <col min="6401" max="6401" width="2.62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125" style="122" customWidth="1"/>
    <col min="6406" max="6409" width="12.375" style="122" customWidth="1"/>
    <col min="6410" max="6412" width="7" style="122" customWidth="1"/>
    <col min="6413" max="6413" width="3.1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9" style="122"/>
    <col min="6657" max="6657" width="2.62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125" style="122" customWidth="1"/>
    <col min="6662" max="6665" width="12.375" style="122" customWidth="1"/>
    <col min="6666" max="6668" width="7" style="122" customWidth="1"/>
    <col min="6669" max="6669" width="3.1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9" style="122"/>
    <col min="6913" max="6913" width="2.62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125" style="122" customWidth="1"/>
    <col min="6918" max="6921" width="12.375" style="122" customWidth="1"/>
    <col min="6922" max="6924" width="7" style="122" customWidth="1"/>
    <col min="6925" max="6925" width="3.1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9" style="122"/>
    <col min="7169" max="7169" width="2.62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125" style="122" customWidth="1"/>
    <col min="7174" max="7177" width="12.375" style="122" customWidth="1"/>
    <col min="7178" max="7180" width="7" style="122" customWidth="1"/>
    <col min="7181" max="7181" width="3.1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9" style="122"/>
    <col min="7425" max="7425" width="2.62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125" style="122" customWidth="1"/>
    <col min="7430" max="7433" width="12.375" style="122" customWidth="1"/>
    <col min="7434" max="7436" width="7" style="122" customWidth="1"/>
    <col min="7437" max="7437" width="3.1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9" style="122"/>
    <col min="7681" max="7681" width="2.62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125" style="122" customWidth="1"/>
    <col min="7686" max="7689" width="12.375" style="122" customWidth="1"/>
    <col min="7690" max="7692" width="7" style="122" customWidth="1"/>
    <col min="7693" max="7693" width="3.1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9" style="122"/>
    <col min="7937" max="7937" width="2.62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125" style="122" customWidth="1"/>
    <col min="7942" max="7945" width="12.375" style="122" customWidth="1"/>
    <col min="7946" max="7948" width="7" style="122" customWidth="1"/>
    <col min="7949" max="7949" width="3.1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9" style="122"/>
    <col min="8193" max="8193" width="2.62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125" style="122" customWidth="1"/>
    <col min="8198" max="8201" width="12.375" style="122" customWidth="1"/>
    <col min="8202" max="8204" width="7" style="122" customWidth="1"/>
    <col min="8205" max="8205" width="3.1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9" style="122"/>
    <col min="8449" max="8449" width="2.62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125" style="122" customWidth="1"/>
    <col min="8454" max="8457" width="12.375" style="122" customWidth="1"/>
    <col min="8458" max="8460" width="7" style="122" customWidth="1"/>
    <col min="8461" max="8461" width="3.1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9" style="122"/>
    <col min="8705" max="8705" width="2.62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125" style="122" customWidth="1"/>
    <col min="8710" max="8713" width="12.375" style="122" customWidth="1"/>
    <col min="8714" max="8716" width="7" style="122" customWidth="1"/>
    <col min="8717" max="8717" width="3.1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9" style="122"/>
    <col min="8961" max="8961" width="2.62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125" style="122" customWidth="1"/>
    <col min="8966" max="8969" width="12.375" style="122" customWidth="1"/>
    <col min="8970" max="8972" width="7" style="122" customWidth="1"/>
    <col min="8973" max="8973" width="3.1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9" style="122"/>
    <col min="9217" max="9217" width="2.62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125" style="122" customWidth="1"/>
    <col min="9222" max="9225" width="12.375" style="122" customWidth="1"/>
    <col min="9226" max="9228" width="7" style="122" customWidth="1"/>
    <col min="9229" max="9229" width="3.1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9" style="122"/>
    <col min="9473" max="9473" width="2.62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125" style="122" customWidth="1"/>
    <col min="9478" max="9481" width="12.375" style="122" customWidth="1"/>
    <col min="9482" max="9484" width="7" style="122" customWidth="1"/>
    <col min="9485" max="9485" width="3.1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9" style="122"/>
    <col min="9729" max="9729" width="2.62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125" style="122" customWidth="1"/>
    <col min="9734" max="9737" width="12.375" style="122" customWidth="1"/>
    <col min="9738" max="9740" width="7" style="122" customWidth="1"/>
    <col min="9741" max="9741" width="3.1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9" style="122"/>
    <col min="9985" max="9985" width="2.62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125" style="122" customWidth="1"/>
    <col min="9990" max="9993" width="12.375" style="122" customWidth="1"/>
    <col min="9994" max="9996" width="7" style="122" customWidth="1"/>
    <col min="9997" max="9997" width="3.1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9" style="122"/>
    <col min="10241" max="10241" width="2.62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125" style="122" customWidth="1"/>
    <col min="10246" max="10249" width="12.375" style="122" customWidth="1"/>
    <col min="10250" max="10252" width="7" style="122" customWidth="1"/>
    <col min="10253" max="10253" width="3.1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9" style="122"/>
    <col min="10497" max="10497" width="2.62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125" style="122" customWidth="1"/>
    <col min="10502" max="10505" width="12.375" style="122" customWidth="1"/>
    <col min="10506" max="10508" width="7" style="122" customWidth="1"/>
    <col min="10509" max="10509" width="3.1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9" style="122"/>
    <col min="10753" max="10753" width="2.62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125" style="122" customWidth="1"/>
    <col min="10758" max="10761" width="12.375" style="122" customWidth="1"/>
    <col min="10762" max="10764" width="7" style="122" customWidth="1"/>
    <col min="10765" max="10765" width="3.1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9" style="122"/>
    <col min="11009" max="11009" width="2.62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125" style="122" customWidth="1"/>
    <col min="11014" max="11017" width="12.375" style="122" customWidth="1"/>
    <col min="11018" max="11020" width="7" style="122" customWidth="1"/>
    <col min="11021" max="11021" width="3.1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9" style="122"/>
    <col min="11265" max="11265" width="2.62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125" style="122" customWidth="1"/>
    <col min="11270" max="11273" width="12.375" style="122" customWidth="1"/>
    <col min="11274" max="11276" width="7" style="122" customWidth="1"/>
    <col min="11277" max="11277" width="3.1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9" style="122"/>
    <col min="11521" max="11521" width="2.62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125" style="122" customWidth="1"/>
    <col min="11526" max="11529" width="12.375" style="122" customWidth="1"/>
    <col min="11530" max="11532" width="7" style="122" customWidth="1"/>
    <col min="11533" max="11533" width="3.1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9" style="122"/>
    <col min="11777" max="11777" width="2.62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125" style="122" customWidth="1"/>
    <col min="11782" max="11785" width="12.375" style="122" customWidth="1"/>
    <col min="11786" max="11788" width="7" style="122" customWidth="1"/>
    <col min="11789" max="11789" width="3.1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9" style="122"/>
    <col min="12033" max="12033" width="2.62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125" style="122" customWidth="1"/>
    <col min="12038" max="12041" width="12.375" style="122" customWidth="1"/>
    <col min="12042" max="12044" width="7" style="122" customWidth="1"/>
    <col min="12045" max="12045" width="3.1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9" style="122"/>
    <col min="12289" max="12289" width="2.62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125" style="122" customWidth="1"/>
    <col min="12294" max="12297" width="12.375" style="122" customWidth="1"/>
    <col min="12298" max="12300" width="7" style="122" customWidth="1"/>
    <col min="12301" max="12301" width="3.1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9" style="122"/>
    <col min="12545" max="12545" width="2.62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125" style="122" customWidth="1"/>
    <col min="12550" max="12553" width="12.375" style="122" customWidth="1"/>
    <col min="12554" max="12556" width="7" style="122" customWidth="1"/>
    <col min="12557" max="12557" width="3.1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9" style="122"/>
    <col min="12801" max="12801" width="2.62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125" style="122" customWidth="1"/>
    <col min="12806" max="12809" width="12.375" style="122" customWidth="1"/>
    <col min="12810" max="12812" width="7" style="122" customWidth="1"/>
    <col min="12813" max="12813" width="3.1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9" style="122"/>
    <col min="13057" max="13057" width="2.62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125" style="122" customWidth="1"/>
    <col min="13062" max="13065" width="12.375" style="122" customWidth="1"/>
    <col min="13066" max="13068" width="7" style="122" customWidth="1"/>
    <col min="13069" max="13069" width="3.1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9" style="122"/>
    <col min="13313" max="13313" width="2.62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125" style="122" customWidth="1"/>
    <col min="13318" max="13321" width="12.375" style="122" customWidth="1"/>
    <col min="13322" max="13324" width="7" style="122" customWidth="1"/>
    <col min="13325" max="13325" width="3.1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9" style="122"/>
    <col min="13569" max="13569" width="2.62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125" style="122" customWidth="1"/>
    <col min="13574" max="13577" width="12.375" style="122" customWidth="1"/>
    <col min="13578" max="13580" width="7" style="122" customWidth="1"/>
    <col min="13581" max="13581" width="3.1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9" style="122"/>
    <col min="13825" max="13825" width="2.62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125" style="122" customWidth="1"/>
    <col min="13830" max="13833" width="12.375" style="122" customWidth="1"/>
    <col min="13834" max="13836" width="7" style="122" customWidth="1"/>
    <col min="13837" max="13837" width="3.1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9" style="122"/>
    <col min="14081" max="14081" width="2.62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125" style="122" customWidth="1"/>
    <col min="14086" max="14089" width="12.375" style="122" customWidth="1"/>
    <col min="14090" max="14092" width="7" style="122" customWidth="1"/>
    <col min="14093" max="14093" width="3.1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9" style="122"/>
    <col min="14337" max="14337" width="2.62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125" style="122" customWidth="1"/>
    <col min="14342" max="14345" width="12.375" style="122" customWidth="1"/>
    <col min="14346" max="14348" width="7" style="122" customWidth="1"/>
    <col min="14349" max="14349" width="3.1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9" style="122"/>
    <col min="14593" max="14593" width="2.62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125" style="122" customWidth="1"/>
    <col min="14598" max="14601" width="12.375" style="122" customWidth="1"/>
    <col min="14602" max="14604" width="7" style="122" customWidth="1"/>
    <col min="14605" max="14605" width="3.1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9" style="122"/>
    <col min="14849" max="14849" width="2.62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125" style="122" customWidth="1"/>
    <col min="14854" max="14857" width="12.375" style="122" customWidth="1"/>
    <col min="14858" max="14860" width="7" style="122" customWidth="1"/>
    <col min="14861" max="14861" width="3.1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9" style="122"/>
    <col min="15105" max="15105" width="2.62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125" style="122" customWidth="1"/>
    <col min="15110" max="15113" width="12.375" style="122" customWidth="1"/>
    <col min="15114" max="15116" width="7" style="122" customWidth="1"/>
    <col min="15117" max="15117" width="3.1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9" style="122"/>
    <col min="15361" max="15361" width="2.62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125" style="122" customWidth="1"/>
    <col min="15366" max="15369" width="12.375" style="122" customWidth="1"/>
    <col min="15370" max="15372" width="7" style="122" customWidth="1"/>
    <col min="15373" max="15373" width="3.1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9" style="122"/>
    <col min="15617" max="15617" width="2.62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125" style="122" customWidth="1"/>
    <col min="15622" max="15625" width="12.375" style="122" customWidth="1"/>
    <col min="15626" max="15628" width="7" style="122" customWidth="1"/>
    <col min="15629" max="15629" width="3.1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9" style="122"/>
    <col min="15873" max="15873" width="2.62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125" style="122" customWidth="1"/>
    <col min="15878" max="15881" width="12.375" style="122" customWidth="1"/>
    <col min="15882" max="15884" width="7" style="122" customWidth="1"/>
    <col min="15885" max="15885" width="3.1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9" style="122"/>
    <col min="16129" max="16129" width="2.62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125" style="122" customWidth="1"/>
    <col min="16134" max="16137" width="12.375" style="122" customWidth="1"/>
    <col min="16138" max="16140" width="7" style="122" customWidth="1"/>
    <col min="16141" max="16141" width="3.1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102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103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71">
        <v>818</v>
      </c>
      <c r="G9" s="72">
        <v>842</v>
      </c>
      <c r="H9" s="72">
        <v>864</v>
      </c>
      <c r="I9" s="73">
        <v>886</v>
      </c>
      <c r="J9" s="56">
        <f t="shared" ref="J9:L12" si="0">IF(OR(G9=0,F9=0),"",G9/F9-1)</f>
        <v>2.9339853300733409E-2</v>
      </c>
      <c r="K9" s="57">
        <f t="shared" si="0"/>
        <v>2.6128266033254244E-2</v>
      </c>
      <c r="L9" s="58">
        <f t="shared" si="0"/>
        <v>2.5462962962963021E-2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74">
        <v>251</v>
      </c>
      <c r="G10" s="75">
        <v>247</v>
      </c>
      <c r="H10" s="75">
        <v>245</v>
      </c>
      <c r="I10" s="76">
        <v>242</v>
      </c>
      <c r="J10" s="59">
        <f t="shared" si="0"/>
        <v>-1.5936254980079667E-2</v>
      </c>
      <c r="K10" s="60">
        <f t="shared" si="0"/>
        <v>-8.0971659919027994E-3</v>
      </c>
      <c r="L10" s="61">
        <f t="shared" si="0"/>
        <v>-1.2244897959183709E-2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74">
        <v>115</v>
      </c>
      <c r="G11" s="75">
        <v>132</v>
      </c>
      <c r="H11" s="75">
        <v>148</v>
      </c>
      <c r="I11" s="76">
        <v>165</v>
      </c>
      <c r="J11" s="59">
        <f t="shared" si="0"/>
        <v>0.14782608695652177</v>
      </c>
      <c r="K11" s="60">
        <f t="shared" si="0"/>
        <v>0.1212121212121211</v>
      </c>
      <c r="L11" s="61">
        <f t="shared" si="0"/>
        <v>0.11486486486486491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98">
        <f>+F10+F11</f>
        <v>366</v>
      </c>
      <c r="G12" s="99">
        <f>+G10+G11</f>
        <v>379</v>
      </c>
      <c r="H12" s="99">
        <f>+H10+H11</f>
        <v>393</v>
      </c>
      <c r="I12" s="100">
        <f>+I10+I11</f>
        <v>407</v>
      </c>
      <c r="J12" s="59">
        <f t="shared" si="0"/>
        <v>3.5519125683060038E-2</v>
      </c>
      <c r="K12" s="60">
        <f t="shared" si="0"/>
        <v>3.6939313984168942E-2</v>
      </c>
      <c r="L12" s="61">
        <f t="shared" si="0"/>
        <v>3.5623409669211181E-2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77">
        <v>18.901505</v>
      </c>
      <c r="G15" s="78">
        <v>18.552667</v>
      </c>
      <c r="H15" s="78">
        <v>19.167999999999999</v>
      </c>
      <c r="I15" s="79">
        <v>20</v>
      </c>
      <c r="J15" s="62">
        <f t="shared" ref="J15:L21" si="1">IF(OR(G15=0,F15=0),"",G15/F15-1)</f>
        <v>-1.8455567427038244E-2</v>
      </c>
      <c r="K15" s="63">
        <f t="shared" si="1"/>
        <v>3.3166821783628286E-2</v>
      </c>
      <c r="L15" s="64">
        <f t="shared" si="1"/>
        <v>4.3405676126878179E-2</v>
      </c>
      <c r="N15" s="77">
        <v>2.4185110000000001</v>
      </c>
      <c r="O15" s="78">
        <v>4.423959</v>
      </c>
      <c r="P15" s="78">
        <v>1.591</v>
      </c>
      <c r="Q15" s="79"/>
      <c r="R15" s="62">
        <f t="shared" ref="R15:T21" si="2">IF(OR(O15=0,N15=0),"",O15/N15-1)</f>
        <v>0.82920772326443837</v>
      </c>
      <c r="S15" s="63">
        <f t="shared" si="2"/>
        <v>-0.64036737230159679</v>
      </c>
      <c r="T15" s="64" t="str">
        <f t="shared" si="2"/>
        <v/>
      </c>
      <c r="V15" s="86">
        <f>+F15+N15</f>
        <v>21.320015999999999</v>
      </c>
      <c r="W15" s="87">
        <f t="shared" ref="W15:Y21" si="3">+G15+O15</f>
        <v>22.976626</v>
      </c>
      <c r="X15" s="87">
        <f t="shared" si="3"/>
        <v>20.759</v>
      </c>
      <c r="Y15" s="88">
        <f t="shared" si="3"/>
        <v>20</v>
      </c>
      <c r="Z15" s="59">
        <f t="shared" ref="Z15:AB21" si="4">IF(OR(W15=0,V15=0),"",W15/V15-1)</f>
        <v>7.7702099285478887E-2</v>
      </c>
      <c r="AA15" s="60">
        <f t="shared" si="4"/>
        <v>-9.651660779089144E-2</v>
      </c>
      <c r="AB15" s="61">
        <f t="shared" si="4"/>
        <v>-3.656245483886511E-2</v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80">
        <v>18.138893000000003</v>
      </c>
      <c r="G16" s="81">
        <v>22.739338</v>
      </c>
      <c r="H16" s="81"/>
      <c r="I16" s="82"/>
      <c r="J16" s="65">
        <f t="shared" si="1"/>
        <v>0.25362325032734878</v>
      </c>
      <c r="K16" s="66" t="str">
        <f t="shared" si="1"/>
        <v/>
      </c>
      <c r="L16" s="67" t="str">
        <f t="shared" si="1"/>
        <v/>
      </c>
      <c r="N16" s="80">
        <v>3.6075299999999997</v>
      </c>
      <c r="O16" s="81">
        <v>2.8921970000000004</v>
      </c>
      <c r="P16" s="81"/>
      <c r="Q16" s="82"/>
      <c r="R16" s="65">
        <f t="shared" si="2"/>
        <v>-0.19828885691872267</v>
      </c>
      <c r="S16" s="66" t="str">
        <f t="shared" si="2"/>
        <v/>
      </c>
      <c r="T16" s="67" t="str">
        <f t="shared" si="2"/>
        <v/>
      </c>
      <c r="V16" s="89">
        <f t="shared" ref="V16:V21" si="5">+F16+N16</f>
        <v>21.746423000000004</v>
      </c>
      <c r="W16" s="90">
        <f t="shared" si="3"/>
        <v>25.631535</v>
      </c>
      <c r="X16" s="90">
        <f t="shared" si="3"/>
        <v>0</v>
      </c>
      <c r="Y16" s="91">
        <f t="shared" si="3"/>
        <v>0</v>
      </c>
      <c r="Z16" s="68">
        <f t="shared" si="4"/>
        <v>0.17865522067698203</v>
      </c>
      <c r="AA16" s="69" t="str">
        <f t="shared" si="4"/>
        <v/>
      </c>
      <c r="AB16" s="70" t="str">
        <f t="shared" si="4"/>
        <v/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98">
        <f>SUM(F15:F16)</f>
        <v>37.040398000000003</v>
      </c>
      <c r="G17" s="98">
        <f>SUM(G15:G16)</f>
        <v>41.292005000000003</v>
      </c>
      <c r="H17" s="99">
        <f>+H15+H16</f>
        <v>19.167999999999999</v>
      </c>
      <c r="I17" s="100">
        <f>+I15+I16</f>
        <v>20</v>
      </c>
      <c r="J17" s="68">
        <f t="shared" si="1"/>
        <v>0.11478297290434081</v>
      </c>
      <c r="K17" s="69">
        <f t="shared" si="1"/>
        <v>-0.53579391458467573</v>
      </c>
      <c r="L17" s="70">
        <f t="shared" si="1"/>
        <v>4.3405676126878179E-2</v>
      </c>
      <c r="M17" s="7">
        <f>+M15+M16</f>
        <v>0</v>
      </c>
      <c r="N17" s="98">
        <f>SUM(N15:N16)</f>
        <v>6.0260409999999993</v>
      </c>
      <c r="O17" s="98">
        <f>SUM(O15:O16)</f>
        <v>7.3161560000000003</v>
      </c>
      <c r="P17" s="99">
        <f>+P15+P16</f>
        <v>1.591</v>
      </c>
      <c r="Q17" s="100">
        <f>+Q15+Q16</f>
        <v>0</v>
      </c>
      <c r="R17" s="68">
        <f t="shared" si="2"/>
        <v>0.21408998046976468</v>
      </c>
      <c r="S17" s="69">
        <f t="shared" si="2"/>
        <v>-0.78253607495520872</v>
      </c>
      <c r="T17" s="70" t="str">
        <f t="shared" si="2"/>
        <v/>
      </c>
      <c r="U17" s="7"/>
      <c r="V17" s="98">
        <f>+V15+V16</f>
        <v>43.066439000000003</v>
      </c>
      <c r="W17" s="99">
        <f>+W15+W16</f>
        <v>48.608160999999996</v>
      </c>
      <c r="X17" s="99">
        <f>+X15+X16</f>
        <v>20.759</v>
      </c>
      <c r="Y17" s="100">
        <f>+Y15+Y16</f>
        <v>20</v>
      </c>
      <c r="Z17" s="68">
        <f t="shared" si="4"/>
        <v>0.12867843566077042</v>
      </c>
      <c r="AA17" s="69">
        <f t="shared" si="4"/>
        <v>-0.57293179637057245</v>
      </c>
      <c r="AB17" s="70">
        <f t="shared" si="4"/>
        <v>-3.656245483886511E-2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74">
        <v>3.6890000000000001</v>
      </c>
      <c r="G18" s="75">
        <v>2.8879999999999999</v>
      </c>
      <c r="H18" s="75">
        <v>3</v>
      </c>
      <c r="I18" s="76"/>
      <c r="J18" s="59">
        <f t="shared" si="1"/>
        <v>-0.21713201409596106</v>
      </c>
      <c r="K18" s="60">
        <f t="shared" si="1"/>
        <v>3.8781163434903121E-2</v>
      </c>
      <c r="L18" s="61" t="str">
        <f t="shared" si="1"/>
        <v/>
      </c>
      <c r="N18" s="74">
        <v>2.5859999999999999</v>
      </c>
      <c r="O18" s="75">
        <v>2.9670000000000001</v>
      </c>
      <c r="P18" s="75"/>
      <c r="Q18" s="76"/>
      <c r="R18" s="59">
        <f t="shared" si="2"/>
        <v>0.14733178654292356</v>
      </c>
      <c r="S18" s="60" t="str">
        <f t="shared" si="2"/>
        <v/>
      </c>
      <c r="T18" s="61" t="str">
        <f t="shared" si="2"/>
        <v/>
      </c>
      <c r="V18" s="92">
        <f t="shared" si="5"/>
        <v>6.2750000000000004</v>
      </c>
      <c r="W18" s="93">
        <f t="shared" si="3"/>
        <v>5.8550000000000004</v>
      </c>
      <c r="X18" s="93">
        <f t="shared" si="3"/>
        <v>3</v>
      </c>
      <c r="Y18" s="94">
        <f t="shared" si="3"/>
        <v>0</v>
      </c>
      <c r="Z18" s="59">
        <f t="shared" si="4"/>
        <v>-6.6932270916334691E-2</v>
      </c>
      <c r="AA18" s="60">
        <f t="shared" si="4"/>
        <v>-0.48761742100768579</v>
      </c>
      <c r="AB18" s="61" t="str">
        <f t="shared" si="4"/>
        <v/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83">
        <v>0</v>
      </c>
      <c r="G19" s="84">
        <v>0</v>
      </c>
      <c r="H19" s="84">
        <v>0</v>
      </c>
      <c r="I19" s="85"/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>
        <v>0</v>
      </c>
      <c r="O19" s="84">
        <v>0</v>
      </c>
      <c r="P19" s="84"/>
      <c r="Q19" s="85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95">
        <f t="shared" si="5"/>
        <v>0</v>
      </c>
      <c r="W19" s="96">
        <f t="shared" si="3"/>
        <v>0</v>
      </c>
      <c r="X19" s="96">
        <f t="shared" si="3"/>
        <v>0</v>
      </c>
      <c r="Y19" s="97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74">
        <v>6.3090000000000002</v>
      </c>
      <c r="G20" s="75">
        <v>6.5510000000000002</v>
      </c>
      <c r="H20" s="75">
        <v>7</v>
      </c>
      <c r="I20" s="76"/>
      <c r="J20" s="59">
        <f t="shared" si="1"/>
        <v>3.8357901410683182E-2</v>
      </c>
      <c r="K20" s="60">
        <f t="shared" si="1"/>
        <v>6.8539154327583507E-2</v>
      </c>
      <c r="L20" s="61" t="str">
        <f t="shared" si="1"/>
        <v/>
      </c>
      <c r="N20" s="74">
        <v>1.014</v>
      </c>
      <c r="O20" s="75">
        <v>1.095</v>
      </c>
      <c r="P20" s="75"/>
      <c r="Q20" s="76"/>
      <c r="R20" s="59">
        <f t="shared" si="2"/>
        <v>7.9881656804733581E-2</v>
      </c>
      <c r="S20" s="60" t="str">
        <f t="shared" si="2"/>
        <v/>
      </c>
      <c r="T20" s="61" t="str">
        <f t="shared" si="2"/>
        <v/>
      </c>
      <c r="V20" s="92">
        <f t="shared" si="5"/>
        <v>7.3230000000000004</v>
      </c>
      <c r="W20" s="93">
        <f t="shared" si="3"/>
        <v>7.6459999999999999</v>
      </c>
      <c r="X20" s="93">
        <f t="shared" si="3"/>
        <v>7</v>
      </c>
      <c r="Y20" s="94">
        <f t="shared" si="3"/>
        <v>0</v>
      </c>
      <c r="Z20" s="59">
        <f t="shared" si="4"/>
        <v>4.410760617233378E-2</v>
      </c>
      <c r="AA20" s="60">
        <f t="shared" si="4"/>
        <v>-8.4488621501438654E-2</v>
      </c>
      <c r="AB20" s="61" t="str">
        <f t="shared" si="4"/>
        <v/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83">
        <v>7.9939999999999998</v>
      </c>
      <c r="G21" s="84">
        <v>9.5340000000000007</v>
      </c>
      <c r="H21" s="84">
        <v>10</v>
      </c>
      <c r="I21" s="85"/>
      <c r="J21" s="68">
        <f t="shared" si="1"/>
        <v>0.19264448336252205</v>
      </c>
      <c r="K21" s="69">
        <f t="shared" si="1"/>
        <v>4.8877700860079587E-2</v>
      </c>
      <c r="L21" s="70" t="str">
        <f t="shared" si="1"/>
        <v/>
      </c>
      <c r="N21" s="83">
        <v>6.7130000000000001</v>
      </c>
      <c r="O21" s="84">
        <v>8.3379999999999992</v>
      </c>
      <c r="P21" s="84"/>
      <c r="Q21" s="85"/>
      <c r="R21" s="68">
        <f t="shared" si="2"/>
        <v>0.24206762997169662</v>
      </c>
      <c r="S21" s="69" t="str">
        <f t="shared" si="2"/>
        <v/>
      </c>
      <c r="T21" s="70" t="str">
        <f t="shared" si="2"/>
        <v/>
      </c>
      <c r="V21" s="95">
        <f t="shared" si="5"/>
        <v>14.707000000000001</v>
      </c>
      <c r="W21" s="96">
        <f t="shared" si="3"/>
        <v>17.872</v>
      </c>
      <c r="X21" s="96">
        <f t="shared" si="3"/>
        <v>10</v>
      </c>
      <c r="Y21" s="97">
        <f t="shared" si="3"/>
        <v>0</v>
      </c>
      <c r="Z21" s="68">
        <f t="shared" si="4"/>
        <v>0.2152036445230161</v>
      </c>
      <c r="AA21" s="69">
        <f t="shared" si="4"/>
        <v>-0.44046553267681288</v>
      </c>
      <c r="AB21" s="70" t="str">
        <f t="shared" si="4"/>
        <v/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77">
        <v>12.877504999999999</v>
      </c>
      <c r="G24" s="78">
        <v>13.849667</v>
      </c>
      <c r="H24" s="78">
        <v>13.315592000000001</v>
      </c>
      <c r="I24" s="79"/>
      <c r="J24" s="59">
        <f t="shared" ref="J24:L30" si="6">IF(OR(G24=0,F24=0),"",G24/F24-1)</f>
        <v>7.549303999493695E-2</v>
      </c>
      <c r="K24" s="60">
        <f t="shared" si="6"/>
        <v>-3.8562299006900336E-2</v>
      </c>
      <c r="L24" s="61" t="str">
        <f t="shared" si="6"/>
        <v/>
      </c>
      <c r="N24" s="77">
        <v>0.36351099999999997</v>
      </c>
      <c r="O24" s="78">
        <v>0.41195900000000002</v>
      </c>
      <c r="P24" s="78">
        <v>0.39257700000000001</v>
      </c>
      <c r="Q24" s="79"/>
      <c r="R24" s="59">
        <f t="shared" ref="R24:T30" si="7">IF(OR(O24=0,N24=0),"",O24/N24-1)</f>
        <v>0.13327794757242573</v>
      </c>
      <c r="S24" s="60">
        <f t="shared" si="7"/>
        <v>-4.7048371318505033E-2</v>
      </c>
      <c r="T24" s="61" t="str">
        <f t="shared" si="7"/>
        <v/>
      </c>
      <c r="V24" s="86">
        <f t="shared" ref="V24:Y30" si="8">+F24+N24</f>
        <v>13.241016</v>
      </c>
      <c r="W24" s="87">
        <f t="shared" si="8"/>
        <v>14.261626</v>
      </c>
      <c r="X24" s="87">
        <f t="shared" si="8"/>
        <v>13.708169</v>
      </c>
      <c r="Y24" s="88">
        <f t="shared" si="8"/>
        <v>0</v>
      </c>
      <c r="Z24" s="59">
        <f t="shared" ref="Z24:AB30" si="9">IF(OR(W24=0,V24=0),"",W24/V24-1)</f>
        <v>7.7079432575264617E-2</v>
      </c>
      <c r="AA24" s="60">
        <f t="shared" si="9"/>
        <v>-3.8807426306088799E-2</v>
      </c>
      <c r="AB24" s="61" t="str">
        <f t="shared" si="9"/>
        <v/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80">
        <v>13.548893</v>
      </c>
      <c r="G25" s="81">
        <v>14.245338</v>
      </c>
      <c r="H25" s="81"/>
      <c r="I25" s="82"/>
      <c r="J25" s="68">
        <f t="shared" si="6"/>
        <v>5.140235442113239E-2</v>
      </c>
      <c r="K25" s="69" t="str">
        <f t="shared" si="6"/>
        <v/>
      </c>
      <c r="L25" s="70" t="str">
        <f t="shared" si="6"/>
        <v/>
      </c>
      <c r="N25" s="80">
        <v>0.52153000000000005</v>
      </c>
      <c r="O25" s="81">
        <v>0.438197</v>
      </c>
      <c r="P25" s="81"/>
      <c r="Q25" s="82"/>
      <c r="R25" s="68">
        <f t="shared" si="7"/>
        <v>-0.15978563074032182</v>
      </c>
      <c r="S25" s="69" t="str">
        <f t="shared" si="7"/>
        <v/>
      </c>
      <c r="T25" s="70" t="str">
        <f t="shared" si="7"/>
        <v/>
      </c>
      <c r="V25" s="89">
        <f t="shared" si="8"/>
        <v>14.070423</v>
      </c>
      <c r="W25" s="90">
        <f t="shared" si="8"/>
        <v>14.683535000000001</v>
      </c>
      <c r="X25" s="90">
        <f t="shared" si="8"/>
        <v>0</v>
      </c>
      <c r="Y25" s="91">
        <f t="shared" si="8"/>
        <v>0</v>
      </c>
      <c r="Z25" s="68">
        <f t="shared" si="9"/>
        <v>4.357452508712778E-2</v>
      </c>
      <c r="AA25" s="69" t="str">
        <f t="shared" si="9"/>
        <v/>
      </c>
      <c r="AB25" s="70" t="str">
        <f t="shared" si="9"/>
        <v/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98">
        <f>SUM(F24:F25)</f>
        <v>26.426397999999999</v>
      </c>
      <c r="G26" s="98">
        <f>SUM(G24:G25)</f>
        <v>28.095005</v>
      </c>
      <c r="H26" s="99">
        <f>+H24+H25</f>
        <v>13.315592000000001</v>
      </c>
      <c r="I26" s="100">
        <f>+I24+I25</f>
        <v>0</v>
      </c>
      <c r="J26" s="68">
        <f t="shared" si="6"/>
        <v>6.3141673715805036E-2</v>
      </c>
      <c r="K26" s="69">
        <f t="shared" si="6"/>
        <v>-0.52605126783212885</v>
      </c>
      <c r="L26" s="70" t="str">
        <f t="shared" si="6"/>
        <v/>
      </c>
      <c r="M26" s="7"/>
      <c r="N26" s="98">
        <f>+N24+N25</f>
        <v>0.88504099999999997</v>
      </c>
      <c r="O26" s="99">
        <f>+O24+O25</f>
        <v>0.85015600000000002</v>
      </c>
      <c r="P26" s="99">
        <f>+P24+P25</f>
        <v>0.39257700000000001</v>
      </c>
      <c r="Q26" s="100">
        <f>+Q24+Q25</f>
        <v>0</v>
      </c>
      <c r="R26" s="68">
        <f t="shared" si="7"/>
        <v>-3.9416253032345305E-2</v>
      </c>
      <c r="S26" s="69">
        <f t="shared" si="7"/>
        <v>-0.53822945435896474</v>
      </c>
      <c r="T26" s="70" t="str">
        <f t="shared" si="7"/>
        <v/>
      </c>
      <c r="U26" s="7"/>
      <c r="V26" s="98">
        <f>+V24+V25</f>
        <v>27.311439</v>
      </c>
      <c r="W26" s="99">
        <f>+W24+W25</f>
        <v>28.945160999999999</v>
      </c>
      <c r="X26" s="99">
        <f>+X24+X25</f>
        <v>13.708169</v>
      </c>
      <c r="Y26" s="100">
        <f>+Y24+Y25</f>
        <v>0</v>
      </c>
      <c r="Z26" s="68">
        <f t="shared" si="9"/>
        <v>5.9818232206658939E-2</v>
      </c>
      <c r="AA26" s="69">
        <f t="shared" si="9"/>
        <v>-0.52640895657826881</v>
      </c>
      <c r="AB26" s="70" t="str">
        <f t="shared" si="9"/>
        <v/>
      </c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74"/>
      <c r="G27" s="75"/>
      <c r="H27" s="75"/>
      <c r="I27" s="76"/>
      <c r="J27" s="59" t="str">
        <f t="shared" si="6"/>
        <v/>
      </c>
      <c r="K27" s="60" t="str">
        <f t="shared" si="6"/>
        <v/>
      </c>
      <c r="L27" s="61" t="str">
        <f t="shared" si="6"/>
        <v/>
      </c>
      <c r="N27" s="74"/>
      <c r="O27" s="75"/>
      <c r="P27" s="75"/>
      <c r="Q27" s="76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92">
        <f t="shared" si="8"/>
        <v>0</v>
      </c>
      <c r="W27" s="93">
        <f t="shared" si="8"/>
        <v>0</v>
      </c>
      <c r="X27" s="93">
        <f t="shared" si="8"/>
        <v>0</v>
      </c>
      <c r="Y27" s="94">
        <f t="shared" si="8"/>
        <v>0</v>
      </c>
      <c r="Z27" s="59" t="str">
        <f t="shared" si="9"/>
        <v/>
      </c>
      <c r="AA27" s="60" t="str">
        <f t="shared" si="9"/>
        <v/>
      </c>
      <c r="AB27" s="61" t="str">
        <f t="shared" si="9"/>
        <v/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83"/>
      <c r="G28" s="84"/>
      <c r="H28" s="84"/>
      <c r="I28" s="85"/>
      <c r="J28" s="68" t="str">
        <f t="shared" si="6"/>
        <v/>
      </c>
      <c r="K28" s="69" t="str">
        <f t="shared" si="6"/>
        <v/>
      </c>
      <c r="L28" s="70" t="str">
        <f t="shared" si="6"/>
        <v/>
      </c>
      <c r="N28" s="83"/>
      <c r="O28" s="84"/>
      <c r="P28" s="84"/>
      <c r="Q28" s="85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95">
        <f t="shared" si="8"/>
        <v>0</v>
      </c>
      <c r="W28" s="96">
        <f t="shared" si="8"/>
        <v>0</v>
      </c>
      <c r="X28" s="96">
        <f t="shared" si="8"/>
        <v>0</v>
      </c>
      <c r="Y28" s="97">
        <f t="shared" si="8"/>
        <v>0</v>
      </c>
      <c r="Z28" s="68" t="str">
        <f t="shared" si="9"/>
        <v/>
      </c>
      <c r="AA28" s="69" t="str">
        <f t="shared" si="9"/>
        <v/>
      </c>
      <c r="AB28" s="70" t="str">
        <f t="shared" si="9"/>
        <v/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74"/>
      <c r="G29" s="75"/>
      <c r="H29" s="75"/>
      <c r="I29" s="76"/>
      <c r="J29" s="59" t="str">
        <f t="shared" si="6"/>
        <v/>
      </c>
      <c r="K29" s="60" t="str">
        <f t="shared" si="6"/>
        <v/>
      </c>
      <c r="L29" s="61" t="str">
        <f t="shared" si="6"/>
        <v/>
      </c>
      <c r="N29" s="74"/>
      <c r="O29" s="75"/>
      <c r="P29" s="75"/>
      <c r="Q29" s="76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92">
        <f t="shared" si="8"/>
        <v>0</v>
      </c>
      <c r="W29" s="93">
        <f t="shared" si="8"/>
        <v>0</v>
      </c>
      <c r="X29" s="93">
        <f t="shared" si="8"/>
        <v>0</v>
      </c>
      <c r="Y29" s="94">
        <f t="shared" si="8"/>
        <v>0</v>
      </c>
      <c r="Z29" s="59" t="str">
        <f t="shared" si="9"/>
        <v/>
      </c>
      <c r="AA29" s="60" t="str">
        <f t="shared" si="9"/>
        <v/>
      </c>
      <c r="AB29" s="61" t="str">
        <f t="shared" si="9"/>
        <v/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83"/>
      <c r="G30" s="84"/>
      <c r="H30" s="84"/>
      <c r="I30" s="85"/>
      <c r="J30" s="68" t="str">
        <f t="shared" si="6"/>
        <v/>
      </c>
      <c r="K30" s="69" t="str">
        <f t="shared" si="6"/>
        <v/>
      </c>
      <c r="L30" s="70" t="str">
        <f t="shared" si="6"/>
        <v/>
      </c>
      <c r="N30" s="83"/>
      <c r="O30" s="84"/>
      <c r="P30" s="84"/>
      <c r="Q30" s="85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95">
        <f t="shared" si="8"/>
        <v>0</v>
      </c>
      <c r="W30" s="96">
        <f t="shared" si="8"/>
        <v>0</v>
      </c>
      <c r="X30" s="96">
        <f t="shared" si="8"/>
        <v>0</v>
      </c>
      <c r="Y30" s="97">
        <f t="shared" si="8"/>
        <v>0</v>
      </c>
      <c r="Z30" s="65" t="str">
        <f t="shared" si="9"/>
        <v/>
      </c>
      <c r="AA30" s="66" t="str">
        <f t="shared" si="9"/>
        <v/>
      </c>
      <c r="AB30" s="67" t="str">
        <f t="shared" si="9"/>
        <v/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77"/>
      <c r="G33" s="78"/>
      <c r="H33" s="78"/>
      <c r="I33" s="79"/>
      <c r="J33" s="62" t="str">
        <f t="shared" ref="J33:L36" si="10">IF(OR(G33=0,F33=0),"",G33/F33-1)</f>
        <v/>
      </c>
      <c r="K33" s="63" t="str">
        <f t="shared" si="10"/>
        <v/>
      </c>
      <c r="L33" s="64" t="str">
        <f t="shared" si="10"/>
        <v/>
      </c>
      <c r="N33" s="77"/>
      <c r="O33" s="78"/>
      <c r="P33" s="78"/>
      <c r="Q33" s="79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86">
        <f t="shared" ref="V33:Y34" si="12">+F33+N33</f>
        <v>0</v>
      </c>
      <c r="W33" s="87">
        <f t="shared" si="12"/>
        <v>0</v>
      </c>
      <c r="X33" s="87">
        <f t="shared" si="12"/>
        <v>0</v>
      </c>
      <c r="Y33" s="88">
        <f t="shared" si="12"/>
        <v>0</v>
      </c>
      <c r="Z33" s="62" t="str">
        <f t="shared" ref="Z33:AB36" si="13">IF(OR(W33=0,V33=0),"",W33/V33-1)</f>
        <v/>
      </c>
      <c r="AA33" s="63" t="str">
        <f t="shared" si="13"/>
        <v/>
      </c>
      <c r="AB33" s="64" t="str">
        <f t="shared" si="13"/>
        <v/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80"/>
      <c r="G34" s="81"/>
      <c r="H34" s="81"/>
      <c r="I34" s="82"/>
      <c r="J34" s="65" t="str">
        <f t="shared" si="10"/>
        <v/>
      </c>
      <c r="K34" s="66" t="str">
        <f t="shared" si="10"/>
        <v/>
      </c>
      <c r="L34" s="67" t="str">
        <f t="shared" si="10"/>
        <v/>
      </c>
      <c r="N34" s="80"/>
      <c r="O34" s="81"/>
      <c r="P34" s="81"/>
      <c r="Q34" s="82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89">
        <f t="shared" si="12"/>
        <v>0</v>
      </c>
      <c r="W34" s="90">
        <f t="shared" si="12"/>
        <v>0</v>
      </c>
      <c r="X34" s="90">
        <f t="shared" si="12"/>
        <v>0</v>
      </c>
      <c r="Y34" s="91">
        <f t="shared" si="12"/>
        <v>0</v>
      </c>
      <c r="Z34" s="65" t="str">
        <f t="shared" si="13"/>
        <v/>
      </c>
      <c r="AA34" s="66" t="str">
        <f t="shared" si="13"/>
        <v/>
      </c>
      <c r="AB34" s="67" t="str">
        <f t="shared" si="13"/>
        <v/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98">
        <f>+F33+F34</f>
        <v>0</v>
      </c>
      <c r="G35" s="99">
        <f>+G33+G34</f>
        <v>0</v>
      </c>
      <c r="H35" s="99">
        <f>+H33+H34</f>
        <v>0</v>
      </c>
      <c r="I35" s="100">
        <f>+I33+I34</f>
        <v>0</v>
      </c>
      <c r="J35" s="68" t="str">
        <f t="shared" si="10"/>
        <v/>
      </c>
      <c r="K35" s="69" t="str">
        <f t="shared" si="10"/>
        <v/>
      </c>
      <c r="L35" s="70" t="str">
        <f t="shared" si="10"/>
        <v/>
      </c>
      <c r="M35" s="7"/>
      <c r="N35" s="98">
        <f>+N33+N34</f>
        <v>0</v>
      </c>
      <c r="O35" s="99">
        <f>+O33+O34</f>
        <v>0</v>
      </c>
      <c r="P35" s="99">
        <f>+P33+P34</f>
        <v>0</v>
      </c>
      <c r="Q35" s="100">
        <f>+Q33+Q34</f>
        <v>0</v>
      </c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7"/>
      <c r="V35" s="98">
        <f>+V33+V34</f>
        <v>0</v>
      </c>
      <c r="W35" s="99">
        <f>+W33+W34</f>
        <v>0</v>
      </c>
      <c r="X35" s="99">
        <f>+X33+X34</f>
        <v>0</v>
      </c>
      <c r="Y35" s="100">
        <f>+Y33+Y34</f>
        <v>0</v>
      </c>
      <c r="Z35" s="68" t="str">
        <f t="shared" si="13"/>
        <v/>
      </c>
      <c r="AA35" s="69" t="str">
        <f t="shared" si="13"/>
        <v/>
      </c>
      <c r="AB35" s="70" t="str">
        <f t="shared" si="13"/>
        <v/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83"/>
      <c r="G36" s="84"/>
      <c r="H36" s="84"/>
      <c r="I36" s="85"/>
      <c r="J36" s="68" t="str">
        <f t="shared" si="10"/>
        <v/>
      </c>
      <c r="K36" s="69" t="str">
        <f t="shared" si="10"/>
        <v/>
      </c>
      <c r="L36" s="70" t="str">
        <f t="shared" si="10"/>
        <v/>
      </c>
      <c r="N36" s="83"/>
      <c r="O36" s="84"/>
      <c r="P36" s="84"/>
      <c r="Q36" s="85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95">
        <v>2.2000000000000002</v>
      </c>
      <c r="W36" s="96">
        <v>2.6</v>
      </c>
      <c r="X36" s="96">
        <v>2.6</v>
      </c>
      <c r="Y36" s="97">
        <v>2.6</v>
      </c>
      <c r="Z36" s="68">
        <f t="shared" si="13"/>
        <v>0.18181818181818166</v>
      </c>
      <c r="AA36" s="69">
        <f t="shared" si="13"/>
        <v>0</v>
      </c>
      <c r="AB36" s="70">
        <f t="shared" si="13"/>
        <v>0</v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101"/>
      <c r="G42" s="102"/>
      <c r="H42" s="102"/>
      <c r="I42" s="103"/>
      <c r="J42" s="62" t="str">
        <f t="shared" ref="J42:L44" si="14">IF(OR(G42=0,F42=0),"",G42/F42-1)</f>
        <v/>
      </c>
      <c r="K42" s="63" t="str">
        <f t="shared" si="14"/>
        <v/>
      </c>
      <c r="L42" s="64" t="str">
        <f t="shared" si="14"/>
        <v/>
      </c>
      <c r="N42" s="101"/>
      <c r="O42" s="102"/>
      <c r="P42" s="102"/>
      <c r="Q42" s="103"/>
      <c r="R42" s="62" t="str">
        <f t="shared" ref="R42:T44" si="15">IF(OR(O42=0,N42=0),"",O42/N42-1)</f>
        <v/>
      </c>
      <c r="S42" s="63" t="str">
        <f t="shared" si="15"/>
        <v/>
      </c>
      <c r="T42" s="64" t="str">
        <f t="shared" si="15"/>
        <v/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104"/>
      <c r="G43" s="105"/>
      <c r="H43" s="105"/>
      <c r="I43" s="106"/>
      <c r="J43" s="65" t="str">
        <f t="shared" si="14"/>
        <v/>
      </c>
      <c r="K43" s="66" t="str">
        <f t="shared" si="14"/>
        <v/>
      </c>
      <c r="L43" s="67" t="str">
        <f t="shared" si="14"/>
        <v/>
      </c>
      <c r="N43" s="104"/>
      <c r="O43" s="105"/>
      <c r="P43" s="105"/>
      <c r="Q43" s="106"/>
      <c r="R43" s="65" t="str">
        <f t="shared" si="15"/>
        <v/>
      </c>
      <c r="S43" s="66" t="str">
        <f t="shared" si="15"/>
        <v/>
      </c>
      <c r="T43" s="67" t="str">
        <f t="shared" si="15"/>
        <v/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0</v>
      </c>
      <c r="G44" s="108">
        <f>(G42+G43)/2</f>
        <v>0</v>
      </c>
      <c r="H44" s="108">
        <f>(H42+H43)/2</f>
        <v>0</v>
      </c>
      <c r="I44" s="109">
        <f>(I42+I43)/2</f>
        <v>0</v>
      </c>
      <c r="J44" s="68" t="str">
        <f t="shared" si="14"/>
        <v/>
      </c>
      <c r="K44" s="69" t="str">
        <f t="shared" si="14"/>
        <v/>
      </c>
      <c r="L44" s="70" t="str">
        <f t="shared" si="14"/>
        <v/>
      </c>
      <c r="M44" s="7"/>
      <c r="N44" s="107">
        <f>(N42+N43)/2</f>
        <v>0</v>
      </c>
      <c r="O44" s="108">
        <f>(O42+O43)/2</f>
        <v>0</v>
      </c>
      <c r="P44" s="108">
        <f>(P42+P43)/2</f>
        <v>0</v>
      </c>
      <c r="Q44" s="109">
        <f>(Q42+Q43)/2</f>
        <v>0</v>
      </c>
      <c r="R44" s="68" t="str">
        <f t="shared" si="15"/>
        <v/>
      </c>
      <c r="S44" s="69" t="str">
        <f t="shared" si="15"/>
        <v/>
      </c>
      <c r="T44" s="70" t="str">
        <f t="shared" si="15"/>
        <v/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1">
        <v>607</v>
      </c>
      <c r="G48" s="102">
        <v>565</v>
      </c>
      <c r="H48" s="102">
        <v>586</v>
      </c>
      <c r="I48" s="103">
        <v>600</v>
      </c>
      <c r="J48" s="62">
        <v>-6.9000000000000006E-2</v>
      </c>
      <c r="K48" s="63">
        <v>3.6999999999999998E-2</v>
      </c>
      <c r="L48" s="64">
        <v>2.4E-2</v>
      </c>
      <c r="N48" s="101"/>
      <c r="O48" s="102"/>
      <c r="P48" s="102"/>
      <c r="Q48" s="103"/>
      <c r="R48" s="62" t="str">
        <f t="shared" ref="R48:T50" si="16">IF(OR(O48=0,N48=0),"",O48/N48-1)</f>
        <v/>
      </c>
      <c r="S48" s="63" t="str">
        <f t="shared" si="16"/>
        <v/>
      </c>
      <c r="T48" s="64" t="str">
        <f t="shared" si="16"/>
        <v/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4">
        <v>590</v>
      </c>
      <c r="G49" s="105">
        <v>531</v>
      </c>
      <c r="H49" s="105">
        <v>600</v>
      </c>
      <c r="I49" s="106">
        <v>600</v>
      </c>
      <c r="J49" s="65">
        <v>-0.1</v>
      </c>
      <c r="K49" s="66">
        <v>0.13</v>
      </c>
      <c r="L49" s="67" t="s">
        <v>104</v>
      </c>
      <c r="N49" s="104"/>
      <c r="O49" s="105"/>
      <c r="P49" s="105"/>
      <c r="Q49" s="106"/>
      <c r="R49" s="65" t="str">
        <f t="shared" si="16"/>
        <v/>
      </c>
      <c r="S49" s="66" t="str">
        <f t="shared" si="16"/>
        <v/>
      </c>
      <c r="T49" s="67" t="str">
        <f t="shared" si="16"/>
        <v/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v>598.5</v>
      </c>
      <c r="G50" s="108">
        <v>548</v>
      </c>
      <c r="H50" s="108">
        <v>593</v>
      </c>
      <c r="I50" s="109">
        <v>600</v>
      </c>
      <c r="J50" s="68">
        <v>-8.4000000000000005E-2</v>
      </c>
      <c r="K50" s="69">
        <v>8.2000000000000003E-2</v>
      </c>
      <c r="L50" s="70">
        <v>1.2E-2</v>
      </c>
      <c r="M50" s="7"/>
      <c r="N50" s="107">
        <f>(N48+N49)/2</f>
        <v>0</v>
      </c>
      <c r="O50" s="108">
        <f>(O48+O49)/2</f>
        <v>0</v>
      </c>
      <c r="P50" s="108">
        <f>(P48+P49)/2</f>
        <v>0</v>
      </c>
      <c r="Q50" s="109">
        <f>(Q48+Q49)/2</f>
        <v>0</v>
      </c>
      <c r="R50" s="68" t="str">
        <f t="shared" si="16"/>
        <v/>
      </c>
      <c r="S50" s="69" t="str">
        <f t="shared" si="16"/>
        <v/>
      </c>
      <c r="T50" s="70" t="str">
        <f t="shared" si="16"/>
        <v/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F44:T44 H17:M17 H26:I26 V33:AB33 V36:Y36 F35:AB35 V34:Y34 V30:Y30 V24:Y25 V29:AB29 V27:Y28 V18:Y21 V15:Y16 U26:Y26 M26:Q26 P17:AB17">
    <cfRule type="cellIs" dxfId="41" priority="6" stopIfTrue="1" operator="equal">
      <formula>0</formula>
    </cfRule>
  </conditionalFormatting>
  <conditionalFormatting sqref="N50:T50">
    <cfRule type="cellIs" dxfId="40" priority="5" stopIfTrue="1" operator="equal">
      <formula>0</formula>
    </cfRule>
  </conditionalFormatting>
  <conditionalFormatting sqref="F12:I12">
    <cfRule type="cellIs" dxfId="39" priority="4" stopIfTrue="1" operator="equal">
      <formula>0</formula>
    </cfRule>
  </conditionalFormatting>
  <conditionalFormatting sqref="F17:G17">
    <cfRule type="cellIs" dxfId="38" priority="3" stopIfTrue="1" operator="equal">
      <formula>0</formula>
    </cfRule>
  </conditionalFormatting>
  <conditionalFormatting sqref="F26:G26">
    <cfRule type="cellIs" dxfId="37" priority="2" stopIfTrue="1" operator="equal">
      <formula>0</formula>
    </cfRule>
  </conditionalFormatting>
  <conditionalFormatting sqref="N17:O17">
    <cfRule type="cellIs" dxfId="36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58"/>
  <sheetViews>
    <sheetView showGridLines="0" zoomScale="60" zoomScaleNormal="60" workbookViewId="0">
      <selection activeCell="G20" sqref="G20"/>
    </sheetView>
  </sheetViews>
  <sheetFormatPr defaultColWidth="9" defaultRowHeight="15.75" x14ac:dyDescent="0.25"/>
  <cols>
    <col min="1" max="1" width="2.625" style="122" customWidth="1"/>
    <col min="2" max="2" width="18.875" style="122" customWidth="1"/>
    <col min="3" max="3" width="26.625" style="122" customWidth="1"/>
    <col min="4" max="4" width="14.375" style="122" customWidth="1"/>
    <col min="5" max="5" width="3.125" style="122" customWidth="1"/>
    <col min="6" max="9" width="12.375" style="122" customWidth="1"/>
    <col min="10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9" style="122"/>
    <col min="257" max="257" width="2.62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125" style="122" customWidth="1"/>
    <col min="262" max="265" width="12.375" style="122" customWidth="1"/>
    <col min="266" max="268" width="7" style="122" customWidth="1"/>
    <col min="269" max="269" width="3.1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9" style="122"/>
    <col min="513" max="513" width="2.62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125" style="122" customWidth="1"/>
    <col min="518" max="521" width="12.375" style="122" customWidth="1"/>
    <col min="522" max="524" width="7" style="122" customWidth="1"/>
    <col min="525" max="525" width="3.1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9" style="122"/>
    <col min="769" max="769" width="2.62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125" style="122" customWidth="1"/>
    <col min="774" max="777" width="12.375" style="122" customWidth="1"/>
    <col min="778" max="780" width="7" style="122" customWidth="1"/>
    <col min="781" max="781" width="3.1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9" style="122"/>
    <col min="1025" max="1025" width="2.62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125" style="122" customWidth="1"/>
    <col min="1030" max="1033" width="12.375" style="122" customWidth="1"/>
    <col min="1034" max="1036" width="7" style="122" customWidth="1"/>
    <col min="1037" max="1037" width="3.1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9" style="122"/>
    <col min="1281" max="1281" width="2.62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125" style="122" customWidth="1"/>
    <col min="1286" max="1289" width="12.375" style="122" customWidth="1"/>
    <col min="1290" max="1292" width="7" style="122" customWidth="1"/>
    <col min="1293" max="1293" width="3.1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9" style="122"/>
    <col min="1537" max="1537" width="2.62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125" style="122" customWidth="1"/>
    <col min="1542" max="1545" width="12.375" style="122" customWidth="1"/>
    <col min="1546" max="1548" width="7" style="122" customWidth="1"/>
    <col min="1549" max="1549" width="3.1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9" style="122"/>
    <col min="1793" max="1793" width="2.62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125" style="122" customWidth="1"/>
    <col min="1798" max="1801" width="12.375" style="122" customWidth="1"/>
    <col min="1802" max="1804" width="7" style="122" customWidth="1"/>
    <col min="1805" max="1805" width="3.1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9" style="122"/>
    <col min="2049" max="2049" width="2.62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125" style="122" customWidth="1"/>
    <col min="2054" max="2057" width="12.375" style="122" customWidth="1"/>
    <col min="2058" max="2060" width="7" style="122" customWidth="1"/>
    <col min="2061" max="2061" width="3.1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9" style="122"/>
    <col min="2305" max="2305" width="2.62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125" style="122" customWidth="1"/>
    <col min="2310" max="2313" width="12.375" style="122" customWidth="1"/>
    <col min="2314" max="2316" width="7" style="122" customWidth="1"/>
    <col min="2317" max="2317" width="3.1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9" style="122"/>
    <col min="2561" max="2561" width="2.62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125" style="122" customWidth="1"/>
    <col min="2566" max="2569" width="12.375" style="122" customWidth="1"/>
    <col min="2570" max="2572" width="7" style="122" customWidth="1"/>
    <col min="2573" max="2573" width="3.1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9" style="122"/>
    <col min="2817" max="2817" width="2.62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125" style="122" customWidth="1"/>
    <col min="2822" max="2825" width="12.375" style="122" customWidth="1"/>
    <col min="2826" max="2828" width="7" style="122" customWidth="1"/>
    <col min="2829" max="2829" width="3.1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9" style="122"/>
    <col min="3073" max="3073" width="2.62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125" style="122" customWidth="1"/>
    <col min="3078" max="3081" width="12.375" style="122" customWidth="1"/>
    <col min="3082" max="3084" width="7" style="122" customWidth="1"/>
    <col min="3085" max="3085" width="3.1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9" style="122"/>
    <col min="3329" max="3329" width="2.62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125" style="122" customWidth="1"/>
    <col min="3334" max="3337" width="12.375" style="122" customWidth="1"/>
    <col min="3338" max="3340" width="7" style="122" customWidth="1"/>
    <col min="3341" max="3341" width="3.1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9" style="122"/>
    <col min="3585" max="3585" width="2.62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125" style="122" customWidth="1"/>
    <col min="3590" max="3593" width="12.375" style="122" customWidth="1"/>
    <col min="3594" max="3596" width="7" style="122" customWidth="1"/>
    <col min="3597" max="3597" width="3.1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9" style="122"/>
    <col min="3841" max="3841" width="2.62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125" style="122" customWidth="1"/>
    <col min="3846" max="3849" width="12.375" style="122" customWidth="1"/>
    <col min="3850" max="3852" width="7" style="122" customWidth="1"/>
    <col min="3853" max="3853" width="3.1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9" style="122"/>
    <col min="4097" max="4097" width="2.62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125" style="122" customWidth="1"/>
    <col min="4102" max="4105" width="12.375" style="122" customWidth="1"/>
    <col min="4106" max="4108" width="7" style="122" customWidth="1"/>
    <col min="4109" max="4109" width="3.1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9" style="122"/>
    <col min="4353" max="4353" width="2.62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125" style="122" customWidth="1"/>
    <col min="4358" max="4361" width="12.375" style="122" customWidth="1"/>
    <col min="4362" max="4364" width="7" style="122" customWidth="1"/>
    <col min="4365" max="4365" width="3.1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9" style="122"/>
    <col min="4609" max="4609" width="2.62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125" style="122" customWidth="1"/>
    <col min="4614" max="4617" width="12.375" style="122" customWidth="1"/>
    <col min="4618" max="4620" width="7" style="122" customWidth="1"/>
    <col min="4621" max="4621" width="3.1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9" style="122"/>
    <col min="4865" max="4865" width="2.62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125" style="122" customWidth="1"/>
    <col min="4870" max="4873" width="12.375" style="122" customWidth="1"/>
    <col min="4874" max="4876" width="7" style="122" customWidth="1"/>
    <col min="4877" max="4877" width="3.1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9" style="122"/>
    <col min="5121" max="5121" width="2.62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125" style="122" customWidth="1"/>
    <col min="5126" max="5129" width="12.375" style="122" customWidth="1"/>
    <col min="5130" max="5132" width="7" style="122" customWidth="1"/>
    <col min="5133" max="5133" width="3.1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9" style="122"/>
    <col min="5377" max="5377" width="2.62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125" style="122" customWidth="1"/>
    <col min="5382" max="5385" width="12.375" style="122" customWidth="1"/>
    <col min="5386" max="5388" width="7" style="122" customWidth="1"/>
    <col min="5389" max="5389" width="3.1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9" style="122"/>
    <col min="5633" max="5633" width="2.62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125" style="122" customWidth="1"/>
    <col min="5638" max="5641" width="12.375" style="122" customWidth="1"/>
    <col min="5642" max="5644" width="7" style="122" customWidth="1"/>
    <col min="5645" max="5645" width="3.1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9" style="122"/>
    <col min="5889" max="5889" width="2.62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125" style="122" customWidth="1"/>
    <col min="5894" max="5897" width="12.375" style="122" customWidth="1"/>
    <col min="5898" max="5900" width="7" style="122" customWidth="1"/>
    <col min="5901" max="5901" width="3.1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9" style="122"/>
    <col min="6145" max="6145" width="2.62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125" style="122" customWidth="1"/>
    <col min="6150" max="6153" width="12.375" style="122" customWidth="1"/>
    <col min="6154" max="6156" width="7" style="122" customWidth="1"/>
    <col min="6157" max="6157" width="3.1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9" style="122"/>
    <col min="6401" max="6401" width="2.62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125" style="122" customWidth="1"/>
    <col min="6406" max="6409" width="12.375" style="122" customWidth="1"/>
    <col min="6410" max="6412" width="7" style="122" customWidth="1"/>
    <col min="6413" max="6413" width="3.1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9" style="122"/>
    <col min="6657" max="6657" width="2.62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125" style="122" customWidth="1"/>
    <col min="6662" max="6665" width="12.375" style="122" customWidth="1"/>
    <col min="6666" max="6668" width="7" style="122" customWidth="1"/>
    <col min="6669" max="6669" width="3.1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9" style="122"/>
    <col min="6913" max="6913" width="2.62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125" style="122" customWidth="1"/>
    <col min="6918" max="6921" width="12.375" style="122" customWidth="1"/>
    <col min="6922" max="6924" width="7" style="122" customWidth="1"/>
    <col min="6925" max="6925" width="3.1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9" style="122"/>
    <col min="7169" max="7169" width="2.62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125" style="122" customWidth="1"/>
    <col min="7174" max="7177" width="12.375" style="122" customWidth="1"/>
    <col min="7178" max="7180" width="7" style="122" customWidth="1"/>
    <col min="7181" max="7181" width="3.1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9" style="122"/>
    <col min="7425" max="7425" width="2.62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125" style="122" customWidth="1"/>
    <col min="7430" max="7433" width="12.375" style="122" customWidth="1"/>
    <col min="7434" max="7436" width="7" style="122" customWidth="1"/>
    <col min="7437" max="7437" width="3.1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9" style="122"/>
    <col min="7681" max="7681" width="2.62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125" style="122" customWidth="1"/>
    <col min="7686" max="7689" width="12.375" style="122" customWidth="1"/>
    <col min="7690" max="7692" width="7" style="122" customWidth="1"/>
    <col min="7693" max="7693" width="3.1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9" style="122"/>
    <col min="7937" max="7937" width="2.62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125" style="122" customWidth="1"/>
    <col min="7942" max="7945" width="12.375" style="122" customWidth="1"/>
    <col min="7946" max="7948" width="7" style="122" customWidth="1"/>
    <col min="7949" max="7949" width="3.1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9" style="122"/>
    <col min="8193" max="8193" width="2.62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125" style="122" customWidth="1"/>
    <col min="8198" max="8201" width="12.375" style="122" customWidth="1"/>
    <col min="8202" max="8204" width="7" style="122" customWidth="1"/>
    <col min="8205" max="8205" width="3.1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9" style="122"/>
    <col min="8449" max="8449" width="2.62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125" style="122" customWidth="1"/>
    <col min="8454" max="8457" width="12.375" style="122" customWidth="1"/>
    <col min="8458" max="8460" width="7" style="122" customWidth="1"/>
    <col min="8461" max="8461" width="3.1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9" style="122"/>
    <col min="8705" max="8705" width="2.62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125" style="122" customWidth="1"/>
    <col min="8710" max="8713" width="12.375" style="122" customWidth="1"/>
    <col min="8714" max="8716" width="7" style="122" customWidth="1"/>
    <col min="8717" max="8717" width="3.1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9" style="122"/>
    <col min="8961" max="8961" width="2.62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125" style="122" customWidth="1"/>
    <col min="8966" max="8969" width="12.375" style="122" customWidth="1"/>
    <col min="8970" max="8972" width="7" style="122" customWidth="1"/>
    <col min="8973" max="8973" width="3.1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9" style="122"/>
    <col min="9217" max="9217" width="2.62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125" style="122" customWidth="1"/>
    <col min="9222" max="9225" width="12.375" style="122" customWidth="1"/>
    <col min="9226" max="9228" width="7" style="122" customWidth="1"/>
    <col min="9229" max="9229" width="3.1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9" style="122"/>
    <col min="9473" max="9473" width="2.62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125" style="122" customWidth="1"/>
    <col min="9478" max="9481" width="12.375" style="122" customWidth="1"/>
    <col min="9482" max="9484" width="7" style="122" customWidth="1"/>
    <col min="9485" max="9485" width="3.1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9" style="122"/>
    <col min="9729" max="9729" width="2.62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125" style="122" customWidth="1"/>
    <col min="9734" max="9737" width="12.375" style="122" customWidth="1"/>
    <col min="9738" max="9740" width="7" style="122" customWidth="1"/>
    <col min="9741" max="9741" width="3.1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9" style="122"/>
    <col min="9985" max="9985" width="2.62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125" style="122" customWidth="1"/>
    <col min="9990" max="9993" width="12.375" style="122" customWidth="1"/>
    <col min="9994" max="9996" width="7" style="122" customWidth="1"/>
    <col min="9997" max="9997" width="3.1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9" style="122"/>
    <col min="10241" max="10241" width="2.62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125" style="122" customWidth="1"/>
    <col min="10246" max="10249" width="12.375" style="122" customWidth="1"/>
    <col min="10250" max="10252" width="7" style="122" customWidth="1"/>
    <col min="10253" max="10253" width="3.1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9" style="122"/>
    <col min="10497" max="10497" width="2.62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125" style="122" customWidth="1"/>
    <col min="10502" max="10505" width="12.375" style="122" customWidth="1"/>
    <col min="10506" max="10508" width="7" style="122" customWidth="1"/>
    <col min="10509" max="10509" width="3.1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9" style="122"/>
    <col min="10753" max="10753" width="2.62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125" style="122" customWidth="1"/>
    <col min="10758" max="10761" width="12.375" style="122" customWidth="1"/>
    <col min="10762" max="10764" width="7" style="122" customWidth="1"/>
    <col min="10765" max="10765" width="3.1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9" style="122"/>
    <col min="11009" max="11009" width="2.62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125" style="122" customWidth="1"/>
    <col min="11014" max="11017" width="12.375" style="122" customWidth="1"/>
    <col min="11018" max="11020" width="7" style="122" customWidth="1"/>
    <col min="11021" max="11021" width="3.1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9" style="122"/>
    <col min="11265" max="11265" width="2.62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125" style="122" customWidth="1"/>
    <col min="11270" max="11273" width="12.375" style="122" customWidth="1"/>
    <col min="11274" max="11276" width="7" style="122" customWidth="1"/>
    <col min="11277" max="11277" width="3.1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9" style="122"/>
    <col min="11521" max="11521" width="2.62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125" style="122" customWidth="1"/>
    <col min="11526" max="11529" width="12.375" style="122" customWidth="1"/>
    <col min="11530" max="11532" width="7" style="122" customWidth="1"/>
    <col min="11533" max="11533" width="3.1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9" style="122"/>
    <col min="11777" max="11777" width="2.62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125" style="122" customWidth="1"/>
    <col min="11782" max="11785" width="12.375" style="122" customWidth="1"/>
    <col min="11786" max="11788" width="7" style="122" customWidth="1"/>
    <col min="11789" max="11789" width="3.1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9" style="122"/>
    <col min="12033" max="12033" width="2.62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125" style="122" customWidth="1"/>
    <col min="12038" max="12041" width="12.375" style="122" customWidth="1"/>
    <col min="12042" max="12044" width="7" style="122" customWidth="1"/>
    <col min="12045" max="12045" width="3.1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9" style="122"/>
    <col min="12289" max="12289" width="2.62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125" style="122" customWidth="1"/>
    <col min="12294" max="12297" width="12.375" style="122" customWidth="1"/>
    <col min="12298" max="12300" width="7" style="122" customWidth="1"/>
    <col min="12301" max="12301" width="3.1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9" style="122"/>
    <col min="12545" max="12545" width="2.62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125" style="122" customWidth="1"/>
    <col min="12550" max="12553" width="12.375" style="122" customWidth="1"/>
    <col min="12554" max="12556" width="7" style="122" customWidth="1"/>
    <col min="12557" max="12557" width="3.1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9" style="122"/>
    <col min="12801" max="12801" width="2.62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125" style="122" customWidth="1"/>
    <col min="12806" max="12809" width="12.375" style="122" customWidth="1"/>
    <col min="12810" max="12812" width="7" style="122" customWidth="1"/>
    <col min="12813" max="12813" width="3.1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9" style="122"/>
    <col min="13057" max="13057" width="2.62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125" style="122" customWidth="1"/>
    <col min="13062" max="13065" width="12.375" style="122" customWidth="1"/>
    <col min="13066" max="13068" width="7" style="122" customWidth="1"/>
    <col min="13069" max="13069" width="3.1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9" style="122"/>
    <col min="13313" max="13313" width="2.62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125" style="122" customWidth="1"/>
    <col min="13318" max="13321" width="12.375" style="122" customWidth="1"/>
    <col min="13322" max="13324" width="7" style="122" customWidth="1"/>
    <col min="13325" max="13325" width="3.1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9" style="122"/>
    <col min="13569" max="13569" width="2.62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125" style="122" customWidth="1"/>
    <col min="13574" max="13577" width="12.375" style="122" customWidth="1"/>
    <col min="13578" max="13580" width="7" style="122" customWidth="1"/>
    <col min="13581" max="13581" width="3.1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9" style="122"/>
    <col min="13825" max="13825" width="2.62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125" style="122" customWidth="1"/>
    <col min="13830" max="13833" width="12.375" style="122" customWidth="1"/>
    <col min="13834" max="13836" width="7" style="122" customWidth="1"/>
    <col min="13837" max="13837" width="3.1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9" style="122"/>
    <col min="14081" max="14081" width="2.62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125" style="122" customWidth="1"/>
    <col min="14086" max="14089" width="12.375" style="122" customWidth="1"/>
    <col min="14090" max="14092" width="7" style="122" customWidth="1"/>
    <col min="14093" max="14093" width="3.1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9" style="122"/>
    <col min="14337" max="14337" width="2.62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125" style="122" customWidth="1"/>
    <col min="14342" max="14345" width="12.375" style="122" customWidth="1"/>
    <col min="14346" max="14348" width="7" style="122" customWidth="1"/>
    <col min="14349" max="14349" width="3.1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9" style="122"/>
    <col min="14593" max="14593" width="2.62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125" style="122" customWidth="1"/>
    <col min="14598" max="14601" width="12.375" style="122" customWidth="1"/>
    <col min="14602" max="14604" width="7" style="122" customWidth="1"/>
    <col min="14605" max="14605" width="3.1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9" style="122"/>
    <col min="14849" max="14849" width="2.62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125" style="122" customWidth="1"/>
    <col min="14854" max="14857" width="12.375" style="122" customWidth="1"/>
    <col min="14858" max="14860" width="7" style="122" customWidth="1"/>
    <col min="14861" max="14861" width="3.1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9" style="122"/>
    <col min="15105" max="15105" width="2.62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125" style="122" customWidth="1"/>
    <col min="15110" max="15113" width="12.375" style="122" customWidth="1"/>
    <col min="15114" max="15116" width="7" style="122" customWidth="1"/>
    <col min="15117" max="15117" width="3.1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9" style="122"/>
    <col min="15361" max="15361" width="2.62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125" style="122" customWidth="1"/>
    <col min="15366" max="15369" width="12.375" style="122" customWidth="1"/>
    <col min="15370" max="15372" width="7" style="122" customWidth="1"/>
    <col min="15373" max="15373" width="3.1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9" style="122"/>
    <col min="15617" max="15617" width="2.62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125" style="122" customWidth="1"/>
    <col min="15622" max="15625" width="12.375" style="122" customWidth="1"/>
    <col min="15626" max="15628" width="7" style="122" customWidth="1"/>
    <col min="15629" max="15629" width="3.1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9" style="122"/>
    <col min="15873" max="15873" width="2.62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125" style="122" customWidth="1"/>
    <col min="15878" max="15881" width="12.375" style="122" customWidth="1"/>
    <col min="15882" max="15884" width="7" style="122" customWidth="1"/>
    <col min="15885" max="15885" width="3.1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9" style="122"/>
    <col min="16129" max="16129" width="2.62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125" style="122" customWidth="1"/>
    <col min="16134" max="16137" width="12.375" style="122" customWidth="1"/>
    <col min="16138" max="16140" width="7" style="122" customWidth="1"/>
    <col min="16141" max="16141" width="3.1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42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43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71">
        <v>1949</v>
      </c>
      <c r="G9" s="72">
        <v>1932</v>
      </c>
      <c r="H9" s="72">
        <v>1930</v>
      </c>
      <c r="I9" s="73">
        <v>1930</v>
      </c>
      <c r="J9" s="56">
        <f t="shared" ref="J9:L12" si="0">IF(OR(G9=0,F9=0),"",G9/F9-1)</f>
        <v>-8.7224217547460237E-3</v>
      </c>
      <c r="K9" s="57">
        <f t="shared" si="0"/>
        <v>-1.0351966873706209E-3</v>
      </c>
      <c r="L9" s="58">
        <f t="shared" si="0"/>
        <v>0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74">
        <v>539</v>
      </c>
      <c r="G10" s="75">
        <v>536</v>
      </c>
      <c r="H10" s="75">
        <v>533</v>
      </c>
      <c r="I10" s="76">
        <v>536</v>
      </c>
      <c r="J10" s="59">
        <f t="shared" si="0"/>
        <v>-5.5658627087198376E-3</v>
      </c>
      <c r="K10" s="60">
        <f t="shared" si="0"/>
        <v>-5.5970149253731227E-3</v>
      </c>
      <c r="L10" s="61">
        <f t="shared" si="0"/>
        <v>5.6285178236397115E-3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74">
        <v>222</v>
      </c>
      <c r="G11" s="75">
        <v>218</v>
      </c>
      <c r="H11" s="75">
        <v>212</v>
      </c>
      <c r="I11" s="76">
        <v>208</v>
      </c>
      <c r="J11" s="59">
        <f t="shared" si="0"/>
        <v>-1.8018018018018056E-2</v>
      </c>
      <c r="K11" s="60">
        <f t="shared" si="0"/>
        <v>-2.752293577981646E-2</v>
      </c>
      <c r="L11" s="61">
        <f t="shared" si="0"/>
        <v>-1.8867924528301883E-2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98">
        <f>+F10+F11</f>
        <v>761</v>
      </c>
      <c r="G12" s="99">
        <f>+G10+G11</f>
        <v>754</v>
      </c>
      <c r="H12" s="99">
        <f>+H10+H11</f>
        <v>745</v>
      </c>
      <c r="I12" s="100">
        <f>+I10+I11</f>
        <v>744</v>
      </c>
      <c r="J12" s="59">
        <f t="shared" si="0"/>
        <v>-9.1984231274638839E-3</v>
      </c>
      <c r="K12" s="60">
        <f t="shared" si="0"/>
        <v>-1.1936339522546469E-2</v>
      </c>
      <c r="L12" s="61">
        <f t="shared" si="0"/>
        <v>-1.3422818791946067E-3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77">
        <v>97.6</v>
      </c>
      <c r="G15" s="78">
        <v>101.6</v>
      </c>
      <c r="H15" s="78">
        <v>97</v>
      </c>
      <c r="I15" s="79">
        <v>99</v>
      </c>
      <c r="J15" s="62">
        <f t="shared" ref="J15:L21" si="1">IF(OR(G15=0,F15=0),"",G15/F15-1)</f>
        <v>4.0983606557376984E-2</v>
      </c>
      <c r="K15" s="63">
        <f t="shared" si="1"/>
        <v>-4.5275590551181022E-2</v>
      </c>
      <c r="L15" s="64">
        <f t="shared" si="1"/>
        <v>2.0618556701030855E-2</v>
      </c>
      <c r="N15" s="77">
        <v>6.5</v>
      </c>
      <c r="O15" s="78">
        <v>5.7</v>
      </c>
      <c r="P15" s="78">
        <v>5.8</v>
      </c>
      <c r="Q15" s="79">
        <v>5.6</v>
      </c>
      <c r="R15" s="62">
        <f t="shared" ref="R15:T21" si="2">IF(OR(O15=0,N15=0),"",O15/N15-1)</f>
        <v>-0.12307692307692308</v>
      </c>
      <c r="S15" s="63">
        <f t="shared" si="2"/>
        <v>1.754385964912264E-2</v>
      </c>
      <c r="T15" s="64">
        <f t="shared" si="2"/>
        <v>-3.4482758620689724E-2</v>
      </c>
      <c r="V15" s="86">
        <f>+F15+N15</f>
        <v>104.1</v>
      </c>
      <c r="W15" s="87">
        <f t="shared" ref="W15:Y21" si="3">+G15+O15</f>
        <v>107.3</v>
      </c>
      <c r="X15" s="87">
        <f t="shared" si="3"/>
        <v>102.8</v>
      </c>
      <c r="Y15" s="88">
        <f t="shared" si="3"/>
        <v>104.6</v>
      </c>
      <c r="Z15" s="59">
        <f t="shared" ref="Z15:AB21" si="4">IF(OR(W15=0,V15=0),"",W15/V15-1)</f>
        <v>3.0739673390970168E-2</v>
      </c>
      <c r="AA15" s="60">
        <f t="shared" si="4"/>
        <v>-4.1938490214352253E-2</v>
      </c>
      <c r="AB15" s="61">
        <f t="shared" si="4"/>
        <v>1.7509727626459082E-2</v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80">
        <v>107.3</v>
      </c>
      <c r="G16" s="81">
        <v>108</v>
      </c>
      <c r="H16" s="81">
        <v>108</v>
      </c>
      <c r="I16" s="82">
        <v>108</v>
      </c>
      <c r="J16" s="65">
        <f t="shared" si="1"/>
        <v>6.5237651444547406E-3</v>
      </c>
      <c r="K16" s="66">
        <f t="shared" si="1"/>
        <v>0</v>
      </c>
      <c r="L16" s="67">
        <f t="shared" si="1"/>
        <v>0</v>
      </c>
      <c r="N16" s="80">
        <v>5.5</v>
      </c>
      <c r="O16" s="81">
        <v>5</v>
      </c>
      <c r="P16" s="81">
        <v>5</v>
      </c>
      <c r="Q16" s="82">
        <v>4.9000000000000004</v>
      </c>
      <c r="R16" s="65">
        <f t="shared" si="2"/>
        <v>-9.0909090909090939E-2</v>
      </c>
      <c r="S16" s="66">
        <f t="shared" si="2"/>
        <v>0</v>
      </c>
      <c r="T16" s="67">
        <f t="shared" si="2"/>
        <v>-1.9999999999999907E-2</v>
      </c>
      <c r="V16" s="89">
        <f t="shared" ref="V16:V21" si="5">+F16+N16</f>
        <v>112.8</v>
      </c>
      <c r="W16" s="90">
        <f t="shared" si="3"/>
        <v>113</v>
      </c>
      <c r="X16" s="90">
        <f t="shared" si="3"/>
        <v>113</v>
      </c>
      <c r="Y16" s="91">
        <f t="shared" si="3"/>
        <v>112.9</v>
      </c>
      <c r="Z16" s="68">
        <f t="shared" si="4"/>
        <v>1.7730496453900457E-3</v>
      </c>
      <c r="AA16" s="69">
        <f t="shared" si="4"/>
        <v>0</v>
      </c>
      <c r="AB16" s="70">
        <f t="shared" si="4"/>
        <v>-8.8495575221236855E-4</v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98">
        <f>+F15+F16</f>
        <v>204.89999999999998</v>
      </c>
      <c r="G17" s="99">
        <f>+G15+G16</f>
        <v>209.6</v>
      </c>
      <c r="H17" s="99">
        <f>+H15+H16</f>
        <v>205</v>
      </c>
      <c r="I17" s="100">
        <f>+I15+I16</f>
        <v>207</v>
      </c>
      <c r="J17" s="68">
        <f t="shared" si="1"/>
        <v>2.2938018545632044E-2</v>
      </c>
      <c r="K17" s="69">
        <f t="shared" si="1"/>
        <v>-2.1946564885496178E-2</v>
      </c>
      <c r="L17" s="70">
        <f t="shared" si="1"/>
        <v>9.7560975609756184E-3</v>
      </c>
      <c r="M17" s="7">
        <f>+M15+M16</f>
        <v>0</v>
      </c>
      <c r="N17" s="98">
        <f>+N15+N16</f>
        <v>12</v>
      </c>
      <c r="O17" s="99">
        <f>+O15+O16</f>
        <v>10.7</v>
      </c>
      <c r="P17" s="99">
        <f>+P15+P16</f>
        <v>10.8</v>
      </c>
      <c r="Q17" s="100">
        <f>+Q15+Q16</f>
        <v>10.5</v>
      </c>
      <c r="R17" s="68">
        <f t="shared" si="2"/>
        <v>-0.10833333333333339</v>
      </c>
      <c r="S17" s="69">
        <f t="shared" si="2"/>
        <v>9.3457943925234765E-3</v>
      </c>
      <c r="T17" s="70">
        <f t="shared" si="2"/>
        <v>-2.777777777777779E-2</v>
      </c>
      <c r="U17" s="7"/>
      <c r="V17" s="98">
        <f>+V15+V16</f>
        <v>216.89999999999998</v>
      </c>
      <c r="W17" s="99">
        <f>+W15+W16</f>
        <v>220.3</v>
      </c>
      <c r="X17" s="99">
        <f>+X15+X16</f>
        <v>215.8</v>
      </c>
      <c r="Y17" s="100">
        <f>+Y15+Y16</f>
        <v>217.5</v>
      </c>
      <c r="Z17" s="68">
        <f t="shared" si="4"/>
        <v>1.5675426463808373E-2</v>
      </c>
      <c r="AA17" s="69">
        <f t="shared" si="4"/>
        <v>-2.0426690876078069E-2</v>
      </c>
      <c r="AB17" s="70">
        <f t="shared" si="4"/>
        <v>7.8776645041704896E-3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74"/>
      <c r="G18" s="75"/>
      <c r="H18" s="75"/>
      <c r="I18" s="76"/>
      <c r="J18" s="59" t="str">
        <f t="shared" si="1"/>
        <v/>
      </c>
      <c r="K18" s="60" t="str">
        <f t="shared" si="1"/>
        <v/>
      </c>
      <c r="L18" s="61" t="str">
        <f t="shared" si="1"/>
        <v/>
      </c>
      <c r="N18" s="74"/>
      <c r="O18" s="75"/>
      <c r="P18" s="75"/>
      <c r="Q18" s="76"/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92">
        <f t="shared" si="5"/>
        <v>0</v>
      </c>
      <c r="W18" s="93">
        <f t="shared" si="3"/>
        <v>0</v>
      </c>
      <c r="X18" s="93">
        <f t="shared" si="3"/>
        <v>0</v>
      </c>
      <c r="Y18" s="94">
        <f t="shared" si="3"/>
        <v>0</v>
      </c>
      <c r="Z18" s="59" t="str">
        <f t="shared" si="4"/>
        <v/>
      </c>
      <c r="AA18" s="60" t="str">
        <f t="shared" si="4"/>
        <v/>
      </c>
      <c r="AB18" s="61" t="str">
        <f t="shared" si="4"/>
        <v/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83"/>
      <c r="G19" s="84"/>
      <c r="H19" s="84"/>
      <c r="I19" s="85"/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/>
      <c r="O19" s="84"/>
      <c r="P19" s="84"/>
      <c r="Q19" s="85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95">
        <f t="shared" si="5"/>
        <v>0</v>
      </c>
      <c r="W19" s="96">
        <f t="shared" si="3"/>
        <v>0</v>
      </c>
      <c r="X19" s="96">
        <f t="shared" si="3"/>
        <v>0</v>
      </c>
      <c r="Y19" s="97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74"/>
      <c r="G20" s="75"/>
      <c r="H20" s="75"/>
      <c r="I20" s="76"/>
      <c r="J20" s="59" t="str">
        <f t="shared" si="1"/>
        <v/>
      </c>
      <c r="K20" s="60" t="str">
        <f t="shared" si="1"/>
        <v/>
      </c>
      <c r="L20" s="61" t="str">
        <f t="shared" si="1"/>
        <v/>
      </c>
      <c r="N20" s="74"/>
      <c r="O20" s="75"/>
      <c r="P20" s="75"/>
      <c r="Q20" s="76"/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92">
        <f t="shared" si="5"/>
        <v>0</v>
      </c>
      <c r="W20" s="93">
        <f t="shared" si="3"/>
        <v>0</v>
      </c>
      <c r="X20" s="93">
        <f t="shared" si="3"/>
        <v>0</v>
      </c>
      <c r="Y20" s="94">
        <f t="shared" si="3"/>
        <v>0</v>
      </c>
      <c r="Z20" s="59" t="str">
        <f t="shared" si="4"/>
        <v/>
      </c>
      <c r="AA20" s="60" t="str">
        <f t="shared" si="4"/>
        <v/>
      </c>
      <c r="AB20" s="61" t="str">
        <f t="shared" si="4"/>
        <v/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83"/>
      <c r="G21" s="84"/>
      <c r="H21" s="84"/>
      <c r="I21" s="85"/>
      <c r="J21" s="68" t="str">
        <f t="shared" si="1"/>
        <v/>
      </c>
      <c r="K21" s="69" t="str">
        <f t="shared" si="1"/>
        <v/>
      </c>
      <c r="L21" s="70" t="str">
        <f t="shared" si="1"/>
        <v/>
      </c>
      <c r="N21" s="83"/>
      <c r="O21" s="84"/>
      <c r="P21" s="84"/>
      <c r="Q21" s="85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95">
        <f t="shared" si="5"/>
        <v>0</v>
      </c>
      <c r="W21" s="96">
        <f t="shared" si="3"/>
        <v>0</v>
      </c>
      <c r="X21" s="96">
        <f t="shared" si="3"/>
        <v>0</v>
      </c>
      <c r="Y21" s="97">
        <f t="shared" si="3"/>
        <v>0</v>
      </c>
      <c r="Z21" s="68" t="str">
        <f t="shared" si="4"/>
        <v/>
      </c>
      <c r="AA21" s="69" t="str">
        <f t="shared" si="4"/>
        <v/>
      </c>
      <c r="AB21" s="70" t="str">
        <f t="shared" si="4"/>
        <v/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77">
        <v>106.4</v>
      </c>
      <c r="G24" s="78">
        <v>107.6</v>
      </c>
      <c r="H24" s="78">
        <v>106</v>
      </c>
      <c r="I24" s="79">
        <v>108</v>
      </c>
      <c r="J24" s="59">
        <f t="shared" ref="J24:L30" si="6">IF(OR(G24=0,F24=0),"",G24/F24-1)</f>
        <v>1.1278195488721776E-2</v>
      </c>
      <c r="K24" s="60">
        <f t="shared" si="6"/>
        <v>-1.4869888475836368E-2</v>
      </c>
      <c r="L24" s="61">
        <f t="shared" si="6"/>
        <v>1.8867924528301883E-2</v>
      </c>
      <c r="N24" s="77">
        <v>3.5</v>
      </c>
      <c r="O24" s="78">
        <v>3.1</v>
      </c>
      <c r="P24" s="78">
        <v>3</v>
      </c>
      <c r="Q24" s="79">
        <v>2.9</v>
      </c>
      <c r="R24" s="59">
        <f t="shared" ref="R24:T30" si="7">IF(OR(O24=0,N24=0),"",O24/N24-1)</f>
        <v>-0.11428571428571421</v>
      </c>
      <c r="S24" s="60">
        <f t="shared" si="7"/>
        <v>-3.2258064516129115E-2</v>
      </c>
      <c r="T24" s="61">
        <f t="shared" si="7"/>
        <v>-3.3333333333333326E-2</v>
      </c>
      <c r="V24" s="86">
        <f t="shared" ref="V24:Y30" si="8">+F24+N24</f>
        <v>109.9</v>
      </c>
      <c r="W24" s="87">
        <f t="shared" si="8"/>
        <v>110.69999999999999</v>
      </c>
      <c r="X24" s="87">
        <f t="shared" si="8"/>
        <v>109</v>
      </c>
      <c r="Y24" s="88">
        <f t="shared" si="8"/>
        <v>110.9</v>
      </c>
      <c r="Z24" s="59">
        <f t="shared" ref="Z24:AB30" si="9">IF(OR(W24=0,V24=0),"",W24/V24-1)</f>
        <v>7.2793448589625331E-3</v>
      </c>
      <c r="AA24" s="60">
        <f t="shared" si="9"/>
        <v>-1.5356820234868951E-2</v>
      </c>
      <c r="AB24" s="61">
        <f t="shared" si="9"/>
        <v>1.7431192660550598E-2</v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80">
        <v>116.5</v>
      </c>
      <c r="G25" s="81">
        <v>118.4</v>
      </c>
      <c r="H25" s="81">
        <v>118</v>
      </c>
      <c r="I25" s="82">
        <v>118.2</v>
      </c>
      <c r="J25" s="68">
        <f t="shared" si="6"/>
        <v>1.6309012875536544E-2</v>
      </c>
      <c r="K25" s="69">
        <f t="shared" si="6"/>
        <v>-3.3783783783783994E-3</v>
      </c>
      <c r="L25" s="70">
        <f t="shared" si="6"/>
        <v>1.6949152542373724E-3</v>
      </c>
      <c r="N25" s="80">
        <v>2.9</v>
      </c>
      <c r="O25" s="81">
        <v>2.7</v>
      </c>
      <c r="P25" s="81">
        <v>2.7</v>
      </c>
      <c r="Q25" s="82">
        <v>2.6</v>
      </c>
      <c r="R25" s="68">
        <f t="shared" si="7"/>
        <v>-6.8965517241379226E-2</v>
      </c>
      <c r="S25" s="69">
        <f t="shared" si="7"/>
        <v>0</v>
      </c>
      <c r="T25" s="70">
        <f t="shared" si="7"/>
        <v>-3.703703703703709E-2</v>
      </c>
      <c r="V25" s="89">
        <f t="shared" si="8"/>
        <v>119.4</v>
      </c>
      <c r="W25" s="90">
        <f t="shared" si="8"/>
        <v>121.10000000000001</v>
      </c>
      <c r="X25" s="90">
        <f t="shared" si="8"/>
        <v>120.7</v>
      </c>
      <c r="Y25" s="91">
        <f t="shared" si="8"/>
        <v>120.8</v>
      </c>
      <c r="Z25" s="68">
        <f t="shared" si="9"/>
        <v>1.4237855946398703E-2</v>
      </c>
      <c r="AA25" s="69">
        <f t="shared" si="9"/>
        <v>-3.303055326176807E-3</v>
      </c>
      <c r="AB25" s="70">
        <f t="shared" si="9"/>
        <v>8.2850041425008847E-4</v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98">
        <f>+F24+F25</f>
        <v>222.9</v>
      </c>
      <c r="G26" s="99">
        <f>+G24+G25</f>
        <v>226</v>
      </c>
      <c r="H26" s="99">
        <f>+H24+H25</f>
        <v>224</v>
      </c>
      <c r="I26" s="100">
        <f>+I24+I25</f>
        <v>226.2</v>
      </c>
      <c r="J26" s="68">
        <f t="shared" si="6"/>
        <v>1.3907581875280295E-2</v>
      </c>
      <c r="K26" s="69">
        <f t="shared" si="6"/>
        <v>-8.8495575221239076E-3</v>
      </c>
      <c r="L26" s="70">
        <f t="shared" si="6"/>
        <v>9.8214285714284255E-3</v>
      </c>
      <c r="M26" s="7"/>
      <c r="N26" s="98">
        <f>+N24+N25</f>
        <v>6.4</v>
      </c>
      <c r="O26" s="99">
        <f>+O24+O25</f>
        <v>5.8000000000000007</v>
      </c>
      <c r="P26" s="99">
        <f>+P24+P25</f>
        <v>5.7</v>
      </c>
      <c r="Q26" s="100">
        <f>+Q24+Q25</f>
        <v>5.5</v>
      </c>
      <c r="R26" s="68">
        <f t="shared" si="7"/>
        <v>-9.3749999999999889E-2</v>
      </c>
      <c r="S26" s="69">
        <f t="shared" si="7"/>
        <v>-1.7241379310344862E-2</v>
      </c>
      <c r="T26" s="70">
        <f t="shared" si="7"/>
        <v>-3.5087719298245612E-2</v>
      </c>
      <c r="U26" s="7"/>
      <c r="V26" s="98">
        <f>+V24+V25</f>
        <v>229.3</v>
      </c>
      <c r="W26" s="99">
        <f>+W24+W25</f>
        <v>231.8</v>
      </c>
      <c r="X26" s="99">
        <f>+X24+X25</f>
        <v>229.7</v>
      </c>
      <c r="Y26" s="100">
        <f>+Y24+Y25</f>
        <v>231.7</v>
      </c>
      <c r="Z26" s="68">
        <f t="shared" si="9"/>
        <v>1.090274749236797E-2</v>
      </c>
      <c r="AA26" s="69">
        <f t="shared" si="9"/>
        <v>-9.0595340811044922E-3</v>
      </c>
      <c r="AB26" s="70">
        <f t="shared" si="9"/>
        <v>8.7070091423595564E-3</v>
      </c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74">
        <v>41.6</v>
      </c>
      <c r="G27" s="75">
        <v>41.2</v>
      </c>
      <c r="H27" s="75">
        <v>41.3</v>
      </c>
      <c r="I27" s="76">
        <v>41.3</v>
      </c>
      <c r="J27" s="59">
        <f t="shared" si="6"/>
        <v>-9.6153846153845812E-3</v>
      </c>
      <c r="K27" s="60">
        <f t="shared" si="6"/>
        <v>2.4271844660193054E-3</v>
      </c>
      <c r="L27" s="61">
        <f t="shared" si="6"/>
        <v>0</v>
      </c>
      <c r="N27" s="74">
        <v>8.1999999999999993</v>
      </c>
      <c r="O27" s="75">
        <v>7.8</v>
      </c>
      <c r="P27" s="75">
        <v>8</v>
      </c>
      <c r="Q27" s="76">
        <v>8</v>
      </c>
      <c r="R27" s="59">
        <f t="shared" si="7"/>
        <v>-4.8780487804877981E-2</v>
      </c>
      <c r="S27" s="60">
        <f t="shared" si="7"/>
        <v>2.5641025641025772E-2</v>
      </c>
      <c r="T27" s="61">
        <f t="shared" si="7"/>
        <v>0</v>
      </c>
      <c r="V27" s="92">
        <f t="shared" si="8"/>
        <v>49.8</v>
      </c>
      <c r="W27" s="93">
        <f t="shared" si="8"/>
        <v>49</v>
      </c>
      <c r="X27" s="93">
        <f t="shared" si="8"/>
        <v>49.3</v>
      </c>
      <c r="Y27" s="94">
        <f t="shared" si="8"/>
        <v>49.3</v>
      </c>
      <c r="Z27" s="59">
        <f t="shared" si="9"/>
        <v>-1.6064257028112428E-2</v>
      </c>
      <c r="AA27" s="60">
        <f t="shared" si="9"/>
        <v>6.1224489795916881E-3</v>
      </c>
      <c r="AB27" s="61">
        <f t="shared" si="9"/>
        <v>0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83"/>
      <c r="G28" s="84"/>
      <c r="H28" s="84"/>
      <c r="I28" s="85"/>
      <c r="J28" s="68" t="str">
        <f t="shared" si="6"/>
        <v/>
      </c>
      <c r="K28" s="69" t="str">
        <f t="shared" si="6"/>
        <v/>
      </c>
      <c r="L28" s="70" t="str">
        <f t="shared" si="6"/>
        <v/>
      </c>
      <c r="N28" s="83"/>
      <c r="O28" s="84"/>
      <c r="P28" s="84"/>
      <c r="Q28" s="85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95">
        <f t="shared" si="8"/>
        <v>0</v>
      </c>
      <c r="W28" s="96">
        <f t="shared" si="8"/>
        <v>0</v>
      </c>
      <c r="X28" s="96">
        <f t="shared" si="8"/>
        <v>0</v>
      </c>
      <c r="Y28" s="97">
        <f t="shared" si="8"/>
        <v>0</v>
      </c>
      <c r="Z28" s="68" t="str">
        <f t="shared" si="9"/>
        <v/>
      </c>
      <c r="AA28" s="69" t="str">
        <f t="shared" si="9"/>
        <v/>
      </c>
      <c r="AB28" s="70" t="str">
        <f t="shared" si="9"/>
        <v/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74"/>
      <c r="G29" s="75"/>
      <c r="H29" s="75"/>
      <c r="I29" s="76"/>
      <c r="J29" s="59" t="str">
        <f t="shared" si="6"/>
        <v/>
      </c>
      <c r="K29" s="60" t="str">
        <f t="shared" si="6"/>
        <v/>
      </c>
      <c r="L29" s="61" t="str">
        <f t="shared" si="6"/>
        <v/>
      </c>
      <c r="N29" s="74"/>
      <c r="O29" s="75"/>
      <c r="P29" s="75"/>
      <c r="Q29" s="76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92">
        <f t="shared" si="8"/>
        <v>0</v>
      </c>
      <c r="W29" s="93">
        <f t="shared" si="8"/>
        <v>0</v>
      </c>
      <c r="X29" s="93">
        <f t="shared" si="8"/>
        <v>0</v>
      </c>
      <c r="Y29" s="94">
        <f t="shared" si="8"/>
        <v>0</v>
      </c>
      <c r="Z29" s="59" t="str">
        <f t="shared" si="9"/>
        <v/>
      </c>
      <c r="AA29" s="60" t="str">
        <f t="shared" si="9"/>
        <v/>
      </c>
      <c r="AB29" s="61" t="str">
        <f t="shared" si="9"/>
        <v/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83"/>
      <c r="G30" s="84"/>
      <c r="H30" s="84"/>
      <c r="I30" s="85"/>
      <c r="J30" s="68" t="str">
        <f t="shared" si="6"/>
        <v/>
      </c>
      <c r="K30" s="69" t="str">
        <f t="shared" si="6"/>
        <v/>
      </c>
      <c r="L30" s="70" t="str">
        <f t="shared" si="6"/>
        <v/>
      </c>
      <c r="N30" s="83"/>
      <c r="O30" s="84"/>
      <c r="P30" s="84"/>
      <c r="Q30" s="85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95">
        <f t="shared" si="8"/>
        <v>0</v>
      </c>
      <c r="W30" s="96">
        <f t="shared" si="8"/>
        <v>0</v>
      </c>
      <c r="X30" s="96">
        <f t="shared" si="8"/>
        <v>0</v>
      </c>
      <c r="Y30" s="97">
        <f t="shared" si="8"/>
        <v>0</v>
      </c>
      <c r="Z30" s="65" t="str">
        <f t="shared" si="9"/>
        <v/>
      </c>
      <c r="AA30" s="66" t="str">
        <f t="shared" si="9"/>
        <v/>
      </c>
      <c r="AB30" s="67" t="str">
        <f t="shared" si="9"/>
        <v/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77"/>
      <c r="G33" s="78"/>
      <c r="H33" s="78"/>
      <c r="I33" s="79"/>
      <c r="J33" s="62" t="str">
        <f t="shared" ref="J33:L36" si="10">IF(OR(G33=0,F33=0),"",G33/F33-1)</f>
        <v/>
      </c>
      <c r="K33" s="63" t="str">
        <f t="shared" si="10"/>
        <v/>
      </c>
      <c r="L33" s="64" t="str">
        <f t="shared" si="10"/>
        <v/>
      </c>
      <c r="N33" s="77"/>
      <c r="O33" s="78"/>
      <c r="P33" s="78"/>
      <c r="Q33" s="79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86">
        <f t="shared" ref="V33:Y34" si="12">+F33+N33</f>
        <v>0</v>
      </c>
      <c r="W33" s="87">
        <f t="shared" si="12"/>
        <v>0</v>
      </c>
      <c r="X33" s="87">
        <f t="shared" si="12"/>
        <v>0</v>
      </c>
      <c r="Y33" s="88">
        <f t="shared" si="12"/>
        <v>0</v>
      </c>
      <c r="Z33" s="62" t="str">
        <f t="shared" ref="Z33:AB36" si="13">IF(OR(W33=0,V33=0),"",W33/V33-1)</f>
        <v/>
      </c>
      <c r="AA33" s="63" t="str">
        <f t="shared" si="13"/>
        <v/>
      </c>
      <c r="AB33" s="64" t="str">
        <f t="shared" si="13"/>
        <v/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80"/>
      <c r="G34" s="81"/>
      <c r="H34" s="81"/>
      <c r="I34" s="82"/>
      <c r="J34" s="65" t="str">
        <f t="shared" si="10"/>
        <v/>
      </c>
      <c r="K34" s="66" t="str">
        <f t="shared" si="10"/>
        <v/>
      </c>
      <c r="L34" s="67" t="str">
        <f t="shared" si="10"/>
        <v/>
      </c>
      <c r="N34" s="80"/>
      <c r="O34" s="81"/>
      <c r="P34" s="81"/>
      <c r="Q34" s="82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89">
        <f t="shared" si="12"/>
        <v>0</v>
      </c>
      <c r="W34" s="90">
        <f t="shared" si="12"/>
        <v>0</v>
      </c>
      <c r="X34" s="90">
        <f t="shared" si="12"/>
        <v>0</v>
      </c>
      <c r="Y34" s="91">
        <f t="shared" si="12"/>
        <v>0</v>
      </c>
      <c r="Z34" s="65" t="str">
        <f t="shared" si="13"/>
        <v/>
      </c>
      <c r="AA34" s="66" t="str">
        <f t="shared" si="13"/>
        <v/>
      </c>
      <c r="AB34" s="67" t="str">
        <f t="shared" si="13"/>
        <v/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98">
        <f>+F33+F34</f>
        <v>0</v>
      </c>
      <c r="G35" s="99">
        <f>+G33+G34</f>
        <v>0</v>
      </c>
      <c r="H35" s="99">
        <f>+H33+H34</f>
        <v>0</v>
      </c>
      <c r="I35" s="100">
        <f>+I33+I34</f>
        <v>0</v>
      </c>
      <c r="J35" s="68" t="str">
        <f t="shared" si="10"/>
        <v/>
      </c>
      <c r="K35" s="69" t="str">
        <f t="shared" si="10"/>
        <v/>
      </c>
      <c r="L35" s="70" t="str">
        <f t="shared" si="10"/>
        <v/>
      </c>
      <c r="M35" s="7"/>
      <c r="N35" s="98">
        <f>+N33+N34</f>
        <v>0</v>
      </c>
      <c r="O35" s="99">
        <f>+O33+O34</f>
        <v>0</v>
      </c>
      <c r="P35" s="99">
        <f>+P33+P34</f>
        <v>0</v>
      </c>
      <c r="Q35" s="100">
        <f>+Q33+Q34</f>
        <v>0</v>
      </c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7"/>
      <c r="V35" s="98">
        <f>+V33+V34</f>
        <v>0</v>
      </c>
      <c r="W35" s="99">
        <f>+W33+W34</f>
        <v>0</v>
      </c>
      <c r="X35" s="99">
        <f>+X33+X34</f>
        <v>0</v>
      </c>
      <c r="Y35" s="100">
        <f>+Y33+Y34</f>
        <v>0</v>
      </c>
      <c r="Z35" s="68" t="str">
        <f t="shared" si="13"/>
        <v/>
      </c>
      <c r="AA35" s="69" t="str">
        <f t="shared" si="13"/>
        <v/>
      </c>
      <c r="AB35" s="70" t="str">
        <f t="shared" si="13"/>
        <v/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83"/>
      <c r="G36" s="84"/>
      <c r="H36" s="84"/>
      <c r="I36" s="85"/>
      <c r="J36" s="68" t="str">
        <f t="shared" si="10"/>
        <v/>
      </c>
      <c r="K36" s="69" t="str">
        <f t="shared" si="10"/>
        <v/>
      </c>
      <c r="L36" s="70" t="str">
        <f t="shared" si="10"/>
        <v/>
      </c>
      <c r="N36" s="83"/>
      <c r="O36" s="84"/>
      <c r="P36" s="84"/>
      <c r="Q36" s="85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95">
        <f>+F36+N36</f>
        <v>0</v>
      </c>
      <c r="W36" s="96">
        <f>+G36+O36</f>
        <v>0</v>
      </c>
      <c r="X36" s="96">
        <f>+H36+P36</f>
        <v>0</v>
      </c>
      <c r="Y36" s="97">
        <f>+I36+Q36</f>
        <v>0</v>
      </c>
      <c r="Z36" s="68" t="str">
        <f t="shared" si="13"/>
        <v/>
      </c>
      <c r="AA36" s="69" t="str">
        <f t="shared" si="13"/>
        <v/>
      </c>
      <c r="AB36" s="70" t="str">
        <f t="shared" si="13"/>
        <v/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101">
        <v>384</v>
      </c>
      <c r="G42" s="102">
        <v>370</v>
      </c>
      <c r="H42" s="102">
        <v>375</v>
      </c>
      <c r="I42" s="103">
        <v>381.4</v>
      </c>
      <c r="J42" s="62">
        <f t="shared" ref="J42:L44" si="14">IF(OR(G42=0,F42=0),"",G42/F42-1)</f>
        <v>-3.645833333333337E-2</v>
      </c>
      <c r="K42" s="63">
        <f t="shared" si="14"/>
        <v>1.3513513513513598E-2</v>
      </c>
      <c r="L42" s="64">
        <f t="shared" si="14"/>
        <v>1.7066666666666563E-2</v>
      </c>
      <c r="N42" s="101">
        <v>544</v>
      </c>
      <c r="O42" s="102">
        <v>555</v>
      </c>
      <c r="P42" s="102">
        <v>555</v>
      </c>
      <c r="Q42" s="103">
        <v>570</v>
      </c>
      <c r="R42" s="62">
        <f t="shared" ref="R42:T44" si="15">IF(OR(O42=0,N42=0),"",O42/N42-1)</f>
        <v>2.0220588235294157E-2</v>
      </c>
      <c r="S42" s="63">
        <f t="shared" si="15"/>
        <v>0</v>
      </c>
      <c r="T42" s="64">
        <f t="shared" si="15"/>
        <v>2.7027027027026973E-2</v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104">
        <v>383</v>
      </c>
      <c r="G43" s="105">
        <v>375</v>
      </c>
      <c r="H43" s="105">
        <v>378</v>
      </c>
      <c r="I43" s="106">
        <v>384.4</v>
      </c>
      <c r="J43" s="65">
        <f t="shared" si="14"/>
        <v>-2.0887728459530019E-2</v>
      </c>
      <c r="K43" s="66">
        <f t="shared" si="14"/>
        <v>8.0000000000000071E-3</v>
      </c>
      <c r="L43" s="67">
        <f t="shared" si="14"/>
        <v>1.6931216931216797E-2</v>
      </c>
      <c r="N43" s="104">
        <v>580</v>
      </c>
      <c r="O43" s="105">
        <v>585</v>
      </c>
      <c r="P43" s="105">
        <v>585</v>
      </c>
      <c r="Q43" s="106">
        <v>591</v>
      </c>
      <c r="R43" s="65">
        <f t="shared" si="15"/>
        <v>8.6206896551723755E-3</v>
      </c>
      <c r="S43" s="66">
        <f t="shared" si="15"/>
        <v>0</v>
      </c>
      <c r="T43" s="67">
        <f t="shared" si="15"/>
        <v>1.025641025641022E-2</v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383.5</v>
      </c>
      <c r="G44" s="108">
        <f>(G42+G43)/2</f>
        <v>372.5</v>
      </c>
      <c r="H44" s="108">
        <v>383.5</v>
      </c>
      <c r="I44" s="109">
        <v>390.5</v>
      </c>
      <c r="J44" s="68">
        <f t="shared" si="14"/>
        <v>-2.8683181225554133E-2</v>
      </c>
      <c r="K44" s="69">
        <f t="shared" si="14"/>
        <v>2.9530201342281792E-2</v>
      </c>
      <c r="L44" s="70">
        <f t="shared" si="14"/>
        <v>1.8252933507170832E-2</v>
      </c>
      <c r="M44" s="7"/>
      <c r="N44" s="107">
        <f>(N42+N43)/2</f>
        <v>562</v>
      </c>
      <c r="O44" s="108">
        <f>(O42+O43)/2</f>
        <v>570</v>
      </c>
      <c r="P44" s="108">
        <v>605</v>
      </c>
      <c r="Q44" s="109">
        <v>615</v>
      </c>
      <c r="R44" s="68">
        <f t="shared" si="15"/>
        <v>1.4234875444839812E-2</v>
      </c>
      <c r="S44" s="69">
        <f t="shared" si="15"/>
        <v>6.1403508771929793E-2</v>
      </c>
      <c r="T44" s="70">
        <f t="shared" si="15"/>
        <v>1.6528925619834656E-2</v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1">
        <v>270</v>
      </c>
      <c r="G48" s="102">
        <v>246</v>
      </c>
      <c r="H48" s="102">
        <v>265</v>
      </c>
      <c r="I48" s="103">
        <v>275.60000000000002</v>
      </c>
      <c r="J48" s="62">
        <f t="shared" ref="J48:L50" si="16">IF(OR(G48=0,F48=0),"",G48/F48-1)</f>
        <v>-8.8888888888888906E-2</v>
      </c>
      <c r="K48" s="63">
        <f t="shared" si="16"/>
        <v>7.7235772357723498E-2</v>
      </c>
      <c r="L48" s="64">
        <f t="shared" si="16"/>
        <v>4.0000000000000036E-2</v>
      </c>
      <c r="N48" s="101"/>
      <c r="O48" s="102">
        <v>465</v>
      </c>
      <c r="P48" s="102">
        <v>470</v>
      </c>
      <c r="Q48" s="103">
        <v>480</v>
      </c>
      <c r="R48" s="62" t="str">
        <f t="shared" ref="R48:T50" si="17">IF(OR(O48=0,N48=0),"",O48/N48-1)</f>
        <v/>
      </c>
      <c r="S48" s="63">
        <f t="shared" si="17"/>
        <v>1.0752688172043001E-2</v>
      </c>
      <c r="T48" s="64">
        <f t="shared" si="17"/>
        <v>2.1276595744680771E-2</v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4">
        <v>254</v>
      </c>
      <c r="G49" s="105">
        <v>252</v>
      </c>
      <c r="H49" s="105">
        <v>254</v>
      </c>
      <c r="I49" s="106">
        <v>264.2</v>
      </c>
      <c r="J49" s="65">
        <f t="shared" si="16"/>
        <v>-7.8740157480314821E-3</v>
      </c>
      <c r="K49" s="66">
        <f t="shared" si="16"/>
        <v>7.9365079365079083E-3</v>
      </c>
      <c r="L49" s="67">
        <f t="shared" si="16"/>
        <v>4.0157480314960692E-2</v>
      </c>
      <c r="N49" s="104"/>
      <c r="O49" s="105">
        <v>465</v>
      </c>
      <c r="P49" s="105">
        <v>470</v>
      </c>
      <c r="Q49" s="106">
        <v>480</v>
      </c>
      <c r="R49" s="65" t="str">
        <f t="shared" si="17"/>
        <v/>
      </c>
      <c r="S49" s="66">
        <f t="shared" si="17"/>
        <v>1.0752688172043001E-2</v>
      </c>
      <c r="T49" s="67">
        <f t="shared" si="17"/>
        <v>2.1276595744680771E-2</v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f>(F48+F49)/2</f>
        <v>262</v>
      </c>
      <c r="G50" s="108">
        <f>(G48+G49)/2</f>
        <v>249</v>
      </c>
      <c r="H50" s="108">
        <v>268</v>
      </c>
      <c r="I50" s="109">
        <v>278</v>
      </c>
      <c r="J50" s="68">
        <f t="shared" si="16"/>
        <v>-4.961832061068705E-2</v>
      </c>
      <c r="K50" s="69">
        <f t="shared" si="16"/>
        <v>7.6305220883534197E-2</v>
      </c>
      <c r="L50" s="70">
        <f t="shared" si="16"/>
        <v>3.7313432835820892E-2</v>
      </c>
      <c r="M50" s="7"/>
      <c r="N50" s="107">
        <f>(N48+N49)/2</f>
        <v>0</v>
      </c>
      <c r="O50" s="108">
        <f>(O48+O49)/2</f>
        <v>465</v>
      </c>
      <c r="P50" s="108">
        <f>(P48+P49)/2</f>
        <v>470</v>
      </c>
      <c r="Q50" s="109">
        <v>490</v>
      </c>
      <c r="R50" s="68" t="str">
        <f t="shared" si="17"/>
        <v/>
      </c>
      <c r="S50" s="69">
        <f t="shared" si="17"/>
        <v>1.0752688172043001E-2</v>
      </c>
      <c r="T50" s="70">
        <f t="shared" si="17"/>
        <v>4.2553191489361764E-2</v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G50 U56 U54 F44:G44 F17:AB17 F26:I26 V33:AB33 V36:Y36 F35:AB35 V34:Y34 V30:Y30 V24:Y25 V29:AB29 V27:Y28 V18:Y21 V15:Y16 U26:Y26 M26:Q26 J44:O44 J50:M50 R44:T44">
    <cfRule type="cellIs" dxfId="35" priority="11" stopIfTrue="1" operator="equal">
      <formula>0</formula>
    </cfRule>
  </conditionalFormatting>
  <conditionalFormatting sqref="N50:O50 R50:T50">
    <cfRule type="cellIs" dxfId="34" priority="10" stopIfTrue="1" operator="equal">
      <formula>0</formula>
    </cfRule>
  </conditionalFormatting>
  <conditionalFormatting sqref="F12:I12">
    <cfRule type="cellIs" dxfId="33" priority="9" stopIfTrue="1" operator="equal">
      <formula>0</formula>
    </cfRule>
  </conditionalFormatting>
  <conditionalFormatting sqref="H44">
    <cfRule type="cellIs" dxfId="32" priority="8" stopIfTrue="1" operator="equal">
      <formula>0</formula>
    </cfRule>
  </conditionalFormatting>
  <conditionalFormatting sqref="I44">
    <cfRule type="cellIs" dxfId="31" priority="7" stopIfTrue="1" operator="equal">
      <formula>0</formula>
    </cfRule>
  </conditionalFormatting>
  <conditionalFormatting sqref="H50">
    <cfRule type="cellIs" dxfId="30" priority="6" stopIfTrue="1" operator="equal">
      <formula>0</formula>
    </cfRule>
  </conditionalFormatting>
  <conditionalFormatting sqref="I50">
    <cfRule type="cellIs" dxfId="29" priority="5" stopIfTrue="1" operator="equal">
      <formula>0</formula>
    </cfRule>
  </conditionalFormatting>
  <conditionalFormatting sqref="P44">
    <cfRule type="cellIs" dxfId="28" priority="4" stopIfTrue="1" operator="equal">
      <formula>0</formula>
    </cfRule>
  </conditionalFormatting>
  <conditionalFormatting sqref="Q44">
    <cfRule type="cellIs" dxfId="27" priority="3" stopIfTrue="1" operator="equal">
      <formula>0</formula>
    </cfRule>
  </conditionalFormatting>
  <conditionalFormatting sqref="P50">
    <cfRule type="cellIs" dxfId="26" priority="2" stopIfTrue="1" operator="equal">
      <formula>0</formula>
    </cfRule>
  </conditionalFormatting>
  <conditionalFormatting sqref="Q50">
    <cfRule type="cellIs" dxfId="25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AM58"/>
  <sheetViews>
    <sheetView showGridLines="0" tabSelected="1" topLeftCell="D13" zoomScale="60" zoomScaleNormal="60" workbookViewId="0">
      <selection activeCell="D15" sqref="D15"/>
    </sheetView>
  </sheetViews>
  <sheetFormatPr defaultColWidth="9" defaultRowHeight="15.75" x14ac:dyDescent="0.25"/>
  <cols>
    <col min="1" max="1" width="2.625" style="122" customWidth="1"/>
    <col min="2" max="2" width="18.875" style="122" customWidth="1"/>
    <col min="3" max="3" width="26.625" style="122" customWidth="1"/>
    <col min="4" max="4" width="14.375" style="122" customWidth="1"/>
    <col min="5" max="5" width="3.125" style="122" customWidth="1"/>
    <col min="6" max="9" width="12.375" style="122" customWidth="1"/>
    <col min="10" max="10" width="7.125" style="122" customWidth="1"/>
    <col min="11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9" style="122"/>
    <col min="257" max="257" width="2.62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125" style="122" customWidth="1"/>
    <col min="262" max="265" width="12.375" style="122" customWidth="1"/>
    <col min="266" max="266" width="7.125" style="122" customWidth="1"/>
    <col min="267" max="268" width="7" style="122" customWidth="1"/>
    <col min="269" max="269" width="3.1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9" style="122"/>
    <col min="513" max="513" width="2.62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125" style="122" customWidth="1"/>
    <col min="518" max="521" width="12.375" style="122" customWidth="1"/>
    <col min="522" max="522" width="7.125" style="122" customWidth="1"/>
    <col min="523" max="524" width="7" style="122" customWidth="1"/>
    <col min="525" max="525" width="3.1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9" style="122"/>
    <col min="769" max="769" width="2.62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125" style="122" customWidth="1"/>
    <col min="774" max="777" width="12.375" style="122" customWidth="1"/>
    <col min="778" max="778" width="7.125" style="122" customWidth="1"/>
    <col min="779" max="780" width="7" style="122" customWidth="1"/>
    <col min="781" max="781" width="3.1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9" style="122"/>
    <col min="1025" max="1025" width="2.62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125" style="122" customWidth="1"/>
    <col min="1030" max="1033" width="12.375" style="122" customWidth="1"/>
    <col min="1034" max="1034" width="7.125" style="122" customWidth="1"/>
    <col min="1035" max="1036" width="7" style="122" customWidth="1"/>
    <col min="1037" max="1037" width="3.1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9" style="122"/>
    <col min="1281" max="1281" width="2.62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125" style="122" customWidth="1"/>
    <col min="1286" max="1289" width="12.375" style="122" customWidth="1"/>
    <col min="1290" max="1290" width="7.125" style="122" customWidth="1"/>
    <col min="1291" max="1292" width="7" style="122" customWidth="1"/>
    <col min="1293" max="1293" width="3.1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9" style="122"/>
    <col min="1537" max="1537" width="2.62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125" style="122" customWidth="1"/>
    <col min="1542" max="1545" width="12.375" style="122" customWidth="1"/>
    <col min="1546" max="1546" width="7.125" style="122" customWidth="1"/>
    <col min="1547" max="1548" width="7" style="122" customWidth="1"/>
    <col min="1549" max="1549" width="3.1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9" style="122"/>
    <col min="1793" max="1793" width="2.62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125" style="122" customWidth="1"/>
    <col min="1798" max="1801" width="12.375" style="122" customWidth="1"/>
    <col min="1802" max="1802" width="7.125" style="122" customWidth="1"/>
    <col min="1803" max="1804" width="7" style="122" customWidth="1"/>
    <col min="1805" max="1805" width="3.1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9" style="122"/>
    <col min="2049" max="2049" width="2.62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125" style="122" customWidth="1"/>
    <col min="2054" max="2057" width="12.375" style="122" customWidth="1"/>
    <col min="2058" max="2058" width="7.125" style="122" customWidth="1"/>
    <col min="2059" max="2060" width="7" style="122" customWidth="1"/>
    <col min="2061" max="2061" width="3.1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9" style="122"/>
    <col min="2305" max="2305" width="2.62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125" style="122" customWidth="1"/>
    <col min="2310" max="2313" width="12.375" style="122" customWidth="1"/>
    <col min="2314" max="2314" width="7.125" style="122" customWidth="1"/>
    <col min="2315" max="2316" width="7" style="122" customWidth="1"/>
    <col min="2317" max="2317" width="3.1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9" style="122"/>
    <col min="2561" max="2561" width="2.62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125" style="122" customWidth="1"/>
    <col min="2566" max="2569" width="12.375" style="122" customWidth="1"/>
    <col min="2570" max="2570" width="7.125" style="122" customWidth="1"/>
    <col min="2571" max="2572" width="7" style="122" customWidth="1"/>
    <col min="2573" max="2573" width="3.1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9" style="122"/>
    <col min="2817" max="2817" width="2.62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125" style="122" customWidth="1"/>
    <col min="2822" max="2825" width="12.375" style="122" customWidth="1"/>
    <col min="2826" max="2826" width="7.125" style="122" customWidth="1"/>
    <col min="2827" max="2828" width="7" style="122" customWidth="1"/>
    <col min="2829" max="2829" width="3.1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9" style="122"/>
    <col min="3073" max="3073" width="2.62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125" style="122" customWidth="1"/>
    <col min="3078" max="3081" width="12.375" style="122" customWidth="1"/>
    <col min="3082" max="3082" width="7.125" style="122" customWidth="1"/>
    <col min="3083" max="3084" width="7" style="122" customWidth="1"/>
    <col min="3085" max="3085" width="3.1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9" style="122"/>
    <col min="3329" max="3329" width="2.62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125" style="122" customWidth="1"/>
    <col min="3334" max="3337" width="12.375" style="122" customWidth="1"/>
    <col min="3338" max="3338" width="7.125" style="122" customWidth="1"/>
    <col min="3339" max="3340" width="7" style="122" customWidth="1"/>
    <col min="3341" max="3341" width="3.1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9" style="122"/>
    <col min="3585" max="3585" width="2.62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125" style="122" customWidth="1"/>
    <col min="3590" max="3593" width="12.375" style="122" customWidth="1"/>
    <col min="3594" max="3594" width="7.125" style="122" customWidth="1"/>
    <col min="3595" max="3596" width="7" style="122" customWidth="1"/>
    <col min="3597" max="3597" width="3.1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9" style="122"/>
    <col min="3841" max="3841" width="2.62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125" style="122" customWidth="1"/>
    <col min="3846" max="3849" width="12.375" style="122" customWidth="1"/>
    <col min="3850" max="3850" width="7.125" style="122" customWidth="1"/>
    <col min="3851" max="3852" width="7" style="122" customWidth="1"/>
    <col min="3853" max="3853" width="3.1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9" style="122"/>
    <col min="4097" max="4097" width="2.62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125" style="122" customWidth="1"/>
    <col min="4102" max="4105" width="12.375" style="122" customWidth="1"/>
    <col min="4106" max="4106" width="7.125" style="122" customWidth="1"/>
    <col min="4107" max="4108" width="7" style="122" customWidth="1"/>
    <col min="4109" max="4109" width="3.1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9" style="122"/>
    <col min="4353" max="4353" width="2.62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125" style="122" customWidth="1"/>
    <col min="4358" max="4361" width="12.375" style="122" customWidth="1"/>
    <col min="4362" max="4362" width="7.125" style="122" customWidth="1"/>
    <col min="4363" max="4364" width="7" style="122" customWidth="1"/>
    <col min="4365" max="4365" width="3.1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9" style="122"/>
    <col min="4609" max="4609" width="2.62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125" style="122" customWidth="1"/>
    <col min="4614" max="4617" width="12.375" style="122" customWidth="1"/>
    <col min="4618" max="4618" width="7.125" style="122" customWidth="1"/>
    <col min="4619" max="4620" width="7" style="122" customWidth="1"/>
    <col min="4621" max="4621" width="3.1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9" style="122"/>
    <col min="4865" max="4865" width="2.62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125" style="122" customWidth="1"/>
    <col min="4870" max="4873" width="12.375" style="122" customWidth="1"/>
    <col min="4874" max="4874" width="7.125" style="122" customWidth="1"/>
    <col min="4875" max="4876" width="7" style="122" customWidth="1"/>
    <col min="4877" max="4877" width="3.1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9" style="122"/>
    <col min="5121" max="5121" width="2.62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125" style="122" customWidth="1"/>
    <col min="5126" max="5129" width="12.375" style="122" customWidth="1"/>
    <col min="5130" max="5130" width="7.125" style="122" customWidth="1"/>
    <col min="5131" max="5132" width="7" style="122" customWidth="1"/>
    <col min="5133" max="5133" width="3.1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9" style="122"/>
    <col min="5377" max="5377" width="2.62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125" style="122" customWidth="1"/>
    <col min="5382" max="5385" width="12.375" style="122" customWidth="1"/>
    <col min="5386" max="5386" width="7.125" style="122" customWidth="1"/>
    <col min="5387" max="5388" width="7" style="122" customWidth="1"/>
    <col min="5389" max="5389" width="3.1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9" style="122"/>
    <col min="5633" max="5633" width="2.62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125" style="122" customWidth="1"/>
    <col min="5638" max="5641" width="12.375" style="122" customWidth="1"/>
    <col min="5642" max="5642" width="7.125" style="122" customWidth="1"/>
    <col min="5643" max="5644" width="7" style="122" customWidth="1"/>
    <col min="5645" max="5645" width="3.1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9" style="122"/>
    <col min="5889" max="5889" width="2.62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125" style="122" customWidth="1"/>
    <col min="5894" max="5897" width="12.375" style="122" customWidth="1"/>
    <col min="5898" max="5898" width="7.125" style="122" customWidth="1"/>
    <col min="5899" max="5900" width="7" style="122" customWidth="1"/>
    <col min="5901" max="5901" width="3.1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9" style="122"/>
    <col min="6145" max="6145" width="2.62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125" style="122" customWidth="1"/>
    <col min="6150" max="6153" width="12.375" style="122" customWidth="1"/>
    <col min="6154" max="6154" width="7.125" style="122" customWidth="1"/>
    <col min="6155" max="6156" width="7" style="122" customWidth="1"/>
    <col min="6157" max="6157" width="3.1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9" style="122"/>
    <col min="6401" max="6401" width="2.62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125" style="122" customWidth="1"/>
    <col min="6406" max="6409" width="12.375" style="122" customWidth="1"/>
    <col min="6410" max="6410" width="7.125" style="122" customWidth="1"/>
    <col min="6411" max="6412" width="7" style="122" customWidth="1"/>
    <col min="6413" max="6413" width="3.1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9" style="122"/>
    <col min="6657" max="6657" width="2.62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125" style="122" customWidth="1"/>
    <col min="6662" max="6665" width="12.375" style="122" customWidth="1"/>
    <col min="6666" max="6666" width="7.125" style="122" customWidth="1"/>
    <col min="6667" max="6668" width="7" style="122" customWidth="1"/>
    <col min="6669" max="6669" width="3.1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9" style="122"/>
    <col min="6913" max="6913" width="2.62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125" style="122" customWidth="1"/>
    <col min="6918" max="6921" width="12.375" style="122" customWidth="1"/>
    <col min="6922" max="6922" width="7.125" style="122" customWidth="1"/>
    <col min="6923" max="6924" width="7" style="122" customWidth="1"/>
    <col min="6925" max="6925" width="3.1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9" style="122"/>
    <col min="7169" max="7169" width="2.62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125" style="122" customWidth="1"/>
    <col min="7174" max="7177" width="12.375" style="122" customWidth="1"/>
    <col min="7178" max="7178" width="7.125" style="122" customWidth="1"/>
    <col min="7179" max="7180" width="7" style="122" customWidth="1"/>
    <col min="7181" max="7181" width="3.1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9" style="122"/>
    <col min="7425" max="7425" width="2.62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125" style="122" customWidth="1"/>
    <col min="7430" max="7433" width="12.375" style="122" customWidth="1"/>
    <col min="7434" max="7434" width="7.125" style="122" customWidth="1"/>
    <col min="7435" max="7436" width="7" style="122" customWidth="1"/>
    <col min="7437" max="7437" width="3.1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9" style="122"/>
    <col min="7681" max="7681" width="2.62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125" style="122" customWidth="1"/>
    <col min="7686" max="7689" width="12.375" style="122" customWidth="1"/>
    <col min="7690" max="7690" width="7.125" style="122" customWidth="1"/>
    <col min="7691" max="7692" width="7" style="122" customWidth="1"/>
    <col min="7693" max="7693" width="3.1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9" style="122"/>
    <col min="7937" max="7937" width="2.62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125" style="122" customWidth="1"/>
    <col min="7942" max="7945" width="12.375" style="122" customWidth="1"/>
    <col min="7946" max="7946" width="7.125" style="122" customWidth="1"/>
    <col min="7947" max="7948" width="7" style="122" customWidth="1"/>
    <col min="7949" max="7949" width="3.1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9" style="122"/>
    <col min="8193" max="8193" width="2.62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125" style="122" customWidth="1"/>
    <col min="8198" max="8201" width="12.375" style="122" customWidth="1"/>
    <col min="8202" max="8202" width="7.125" style="122" customWidth="1"/>
    <col min="8203" max="8204" width="7" style="122" customWidth="1"/>
    <col min="8205" max="8205" width="3.1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9" style="122"/>
    <col min="8449" max="8449" width="2.62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125" style="122" customWidth="1"/>
    <col min="8454" max="8457" width="12.375" style="122" customWidth="1"/>
    <col min="8458" max="8458" width="7.125" style="122" customWidth="1"/>
    <col min="8459" max="8460" width="7" style="122" customWidth="1"/>
    <col min="8461" max="8461" width="3.1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9" style="122"/>
    <col min="8705" max="8705" width="2.62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125" style="122" customWidth="1"/>
    <col min="8710" max="8713" width="12.375" style="122" customWidth="1"/>
    <col min="8714" max="8714" width="7.125" style="122" customWidth="1"/>
    <col min="8715" max="8716" width="7" style="122" customWidth="1"/>
    <col min="8717" max="8717" width="3.1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9" style="122"/>
    <col min="8961" max="8961" width="2.62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125" style="122" customWidth="1"/>
    <col min="8966" max="8969" width="12.375" style="122" customWidth="1"/>
    <col min="8970" max="8970" width="7.125" style="122" customWidth="1"/>
    <col min="8971" max="8972" width="7" style="122" customWidth="1"/>
    <col min="8973" max="8973" width="3.1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9" style="122"/>
    <col min="9217" max="9217" width="2.62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125" style="122" customWidth="1"/>
    <col min="9222" max="9225" width="12.375" style="122" customWidth="1"/>
    <col min="9226" max="9226" width="7.125" style="122" customWidth="1"/>
    <col min="9227" max="9228" width="7" style="122" customWidth="1"/>
    <col min="9229" max="9229" width="3.1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9" style="122"/>
    <col min="9473" max="9473" width="2.62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125" style="122" customWidth="1"/>
    <col min="9478" max="9481" width="12.375" style="122" customWidth="1"/>
    <col min="9482" max="9482" width="7.125" style="122" customWidth="1"/>
    <col min="9483" max="9484" width="7" style="122" customWidth="1"/>
    <col min="9485" max="9485" width="3.1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9" style="122"/>
    <col min="9729" max="9729" width="2.62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125" style="122" customWidth="1"/>
    <col min="9734" max="9737" width="12.375" style="122" customWidth="1"/>
    <col min="9738" max="9738" width="7.125" style="122" customWidth="1"/>
    <col min="9739" max="9740" width="7" style="122" customWidth="1"/>
    <col min="9741" max="9741" width="3.1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9" style="122"/>
    <col min="9985" max="9985" width="2.62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125" style="122" customWidth="1"/>
    <col min="9990" max="9993" width="12.375" style="122" customWidth="1"/>
    <col min="9994" max="9994" width="7.125" style="122" customWidth="1"/>
    <col min="9995" max="9996" width="7" style="122" customWidth="1"/>
    <col min="9997" max="9997" width="3.1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9" style="122"/>
    <col min="10241" max="10241" width="2.62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125" style="122" customWidth="1"/>
    <col min="10246" max="10249" width="12.375" style="122" customWidth="1"/>
    <col min="10250" max="10250" width="7.125" style="122" customWidth="1"/>
    <col min="10251" max="10252" width="7" style="122" customWidth="1"/>
    <col min="10253" max="10253" width="3.1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9" style="122"/>
    <col min="10497" max="10497" width="2.62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125" style="122" customWidth="1"/>
    <col min="10502" max="10505" width="12.375" style="122" customWidth="1"/>
    <col min="10506" max="10506" width="7.125" style="122" customWidth="1"/>
    <col min="10507" max="10508" width="7" style="122" customWidth="1"/>
    <col min="10509" max="10509" width="3.1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9" style="122"/>
    <col min="10753" max="10753" width="2.62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125" style="122" customWidth="1"/>
    <col min="10758" max="10761" width="12.375" style="122" customWidth="1"/>
    <col min="10762" max="10762" width="7.125" style="122" customWidth="1"/>
    <col min="10763" max="10764" width="7" style="122" customWidth="1"/>
    <col min="10765" max="10765" width="3.1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9" style="122"/>
    <col min="11009" max="11009" width="2.62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125" style="122" customWidth="1"/>
    <col min="11014" max="11017" width="12.375" style="122" customWidth="1"/>
    <col min="11018" max="11018" width="7.125" style="122" customWidth="1"/>
    <col min="11019" max="11020" width="7" style="122" customWidth="1"/>
    <col min="11021" max="11021" width="3.1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9" style="122"/>
    <col min="11265" max="11265" width="2.62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125" style="122" customWidth="1"/>
    <col min="11270" max="11273" width="12.375" style="122" customWidth="1"/>
    <col min="11274" max="11274" width="7.125" style="122" customWidth="1"/>
    <col min="11275" max="11276" width="7" style="122" customWidth="1"/>
    <col min="11277" max="11277" width="3.1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9" style="122"/>
    <col min="11521" max="11521" width="2.62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125" style="122" customWidth="1"/>
    <col min="11526" max="11529" width="12.375" style="122" customWidth="1"/>
    <col min="11530" max="11530" width="7.125" style="122" customWidth="1"/>
    <col min="11531" max="11532" width="7" style="122" customWidth="1"/>
    <col min="11533" max="11533" width="3.1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9" style="122"/>
    <col min="11777" max="11777" width="2.62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125" style="122" customWidth="1"/>
    <col min="11782" max="11785" width="12.375" style="122" customWidth="1"/>
    <col min="11786" max="11786" width="7.125" style="122" customWidth="1"/>
    <col min="11787" max="11788" width="7" style="122" customWidth="1"/>
    <col min="11789" max="11789" width="3.1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9" style="122"/>
    <col min="12033" max="12033" width="2.62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125" style="122" customWidth="1"/>
    <col min="12038" max="12041" width="12.375" style="122" customWidth="1"/>
    <col min="12042" max="12042" width="7.125" style="122" customWidth="1"/>
    <col min="12043" max="12044" width="7" style="122" customWidth="1"/>
    <col min="12045" max="12045" width="3.1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9" style="122"/>
    <col min="12289" max="12289" width="2.62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125" style="122" customWidth="1"/>
    <col min="12294" max="12297" width="12.375" style="122" customWidth="1"/>
    <col min="12298" max="12298" width="7.125" style="122" customWidth="1"/>
    <col min="12299" max="12300" width="7" style="122" customWidth="1"/>
    <col min="12301" max="12301" width="3.1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9" style="122"/>
    <col min="12545" max="12545" width="2.62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125" style="122" customWidth="1"/>
    <col min="12550" max="12553" width="12.375" style="122" customWidth="1"/>
    <col min="12554" max="12554" width="7.125" style="122" customWidth="1"/>
    <col min="12555" max="12556" width="7" style="122" customWidth="1"/>
    <col min="12557" max="12557" width="3.1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9" style="122"/>
    <col min="12801" max="12801" width="2.62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125" style="122" customWidth="1"/>
    <col min="12806" max="12809" width="12.375" style="122" customWidth="1"/>
    <col min="12810" max="12810" width="7.125" style="122" customWidth="1"/>
    <col min="12811" max="12812" width="7" style="122" customWidth="1"/>
    <col min="12813" max="12813" width="3.1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9" style="122"/>
    <col min="13057" max="13057" width="2.62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125" style="122" customWidth="1"/>
    <col min="13062" max="13065" width="12.375" style="122" customWidth="1"/>
    <col min="13066" max="13066" width="7.125" style="122" customWidth="1"/>
    <col min="13067" max="13068" width="7" style="122" customWidth="1"/>
    <col min="13069" max="13069" width="3.1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9" style="122"/>
    <col min="13313" max="13313" width="2.62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125" style="122" customWidth="1"/>
    <col min="13318" max="13321" width="12.375" style="122" customWidth="1"/>
    <col min="13322" max="13322" width="7.125" style="122" customWidth="1"/>
    <col min="13323" max="13324" width="7" style="122" customWidth="1"/>
    <col min="13325" max="13325" width="3.1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9" style="122"/>
    <col min="13569" max="13569" width="2.62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125" style="122" customWidth="1"/>
    <col min="13574" max="13577" width="12.375" style="122" customWidth="1"/>
    <col min="13578" max="13578" width="7.125" style="122" customWidth="1"/>
    <col min="13579" max="13580" width="7" style="122" customWidth="1"/>
    <col min="13581" max="13581" width="3.1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9" style="122"/>
    <col min="13825" max="13825" width="2.62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125" style="122" customWidth="1"/>
    <col min="13830" max="13833" width="12.375" style="122" customWidth="1"/>
    <col min="13834" max="13834" width="7.125" style="122" customWidth="1"/>
    <col min="13835" max="13836" width="7" style="122" customWidth="1"/>
    <col min="13837" max="13837" width="3.1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9" style="122"/>
    <col min="14081" max="14081" width="2.62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125" style="122" customWidth="1"/>
    <col min="14086" max="14089" width="12.375" style="122" customWidth="1"/>
    <col min="14090" max="14090" width="7.125" style="122" customWidth="1"/>
    <col min="14091" max="14092" width="7" style="122" customWidth="1"/>
    <col min="14093" max="14093" width="3.1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9" style="122"/>
    <col min="14337" max="14337" width="2.62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125" style="122" customWidth="1"/>
    <col min="14342" max="14345" width="12.375" style="122" customWidth="1"/>
    <col min="14346" max="14346" width="7.125" style="122" customWidth="1"/>
    <col min="14347" max="14348" width="7" style="122" customWidth="1"/>
    <col min="14349" max="14349" width="3.1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9" style="122"/>
    <col min="14593" max="14593" width="2.62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125" style="122" customWidth="1"/>
    <col min="14598" max="14601" width="12.375" style="122" customWidth="1"/>
    <col min="14602" max="14602" width="7.125" style="122" customWidth="1"/>
    <col min="14603" max="14604" width="7" style="122" customWidth="1"/>
    <col min="14605" max="14605" width="3.1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9" style="122"/>
    <col min="14849" max="14849" width="2.62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125" style="122" customWidth="1"/>
    <col min="14854" max="14857" width="12.375" style="122" customWidth="1"/>
    <col min="14858" max="14858" width="7.125" style="122" customWidth="1"/>
    <col min="14859" max="14860" width="7" style="122" customWidth="1"/>
    <col min="14861" max="14861" width="3.1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9" style="122"/>
    <col min="15105" max="15105" width="2.62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125" style="122" customWidth="1"/>
    <col min="15110" max="15113" width="12.375" style="122" customWidth="1"/>
    <col min="15114" max="15114" width="7.125" style="122" customWidth="1"/>
    <col min="15115" max="15116" width="7" style="122" customWidth="1"/>
    <col min="15117" max="15117" width="3.1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9" style="122"/>
    <col min="15361" max="15361" width="2.62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125" style="122" customWidth="1"/>
    <col min="15366" max="15369" width="12.375" style="122" customWidth="1"/>
    <col min="15370" max="15370" width="7.125" style="122" customWidth="1"/>
    <col min="15371" max="15372" width="7" style="122" customWidth="1"/>
    <col min="15373" max="15373" width="3.1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9" style="122"/>
    <col min="15617" max="15617" width="2.62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125" style="122" customWidth="1"/>
    <col min="15622" max="15625" width="12.375" style="122" customWidth="1"/>
    <col min="15626" max="15626" width="7.125" style="122" customWidth="1"/>
    <col min="15627" max="15628" width="7" style="122" customWidth="1"/>
    <col min="15629" max="15629" width="3.1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9" style="122"/>
    <col min="15873" max="15873" width="2.62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125" style="122" customWidth="1"/>
    <col min="15878" max="15881" width="12.375" style="122" customWidth="1"/>
    <col min="15882" max="15882" width="7.125" style="122" customWidth="1"/>
    <col min="15883" max="15884" width="7" style="122" customWidth="1"/>
    <col min="15885" max="15885" width="3.1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9" style="122"/>
    <col min="16129" max="16129" width="2.62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125" style="122" customWidth="1"/>
    <col min="16134" max="16137" width="12.375" style="122" customWidth="1"/>
    <col min="16138" max="16138" width="7.125" style="122" customWidth="1"/>
    <col min="16139" max="16140" width="7" style="122" customWidth="1"/>
    <col min="16141" max="16141" width="3.1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126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127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72">
        <v>5762.4</v>
      </c>
      <c r="G9" s="72">
        <v>5970.2</v>
      </c>
      <c r="H9" s="72">
        <v>6100</v>
      </c>
      <c r="I9" s="73">
        <v>6150</v>
      </c>
      <c r="J9" s="56">
        <f t="shared" ref="J9:L12" si="0">IF(OR(G9=0,F9=0),"",G9/F9-1)</f>
        <v>3.6061363320838646E-2</v>
      </c>
      <c r="K9" s="57">
        <f t="shared" si="0"/>
        <v>2.1741315198820832E-2</v>
      </c>
      <c r="L9" s="58">
        <f t="shared" si="0"/>
        <v>8.1967213114753079E-3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391">
        <v>2134.1</v>
      </c>
      <c r="G10" s="75">
        <v>2129.5</v>
      </c>
      <c r="H10" s="75">
        <v>2190</v>
      </c>
      <c r="I10" s="76">
        <v>2200</v>
      </c>
      <c r="J10" s="59">
        <f t="shared" si="0"/>
        <v>-2.1554753760366641E-3</v>
      </c>
      <c r="K10" s="60">
        <f t="shared" si="0"/>
        <v>2.8410424982390214E-2</v>
      </c>
      <c r="L10" s="61">
        <f t="shared" si="0"/>
        <v>4.5662100456620447E-3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75">
        <v>168.7</v>
      </c>
      <c r="G11" s="75">
        <f>G12-G10</f>
        <v>174</v>
      </c>
      <c r="H11" s="75">
        <v>180</v>
      </c>
      <c r="I11" s="76">
        <v>185</v>
      </c>
      <c r="J11" s="59">
        <f t="shared" si="0"/>
        <v>3.1416716064019079E-2</v>
      </c>
      <c r="K11" s="60">
        <f t="shared" si="0"/>
        <v>3.4482758620689724E-2</v>
      </c>
      <c r="L11" s="61">
        <f t="shared" si="0"/>
        <v>2.7777777777777679E-2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98">
        <f>+F10+F11</f>
        <v>2302.7999999999997</v>
      </c>
      <c r="G12" s="99">
        <v>2303.5</v>
      </c>
      <c r="H12" s="99">
        <f>+H10+H11</f>
        <v>2370</v>
      </c>
      <c r="I12" s="100">
        <f>+I10+I11</f>
        <v>2385</v>
      </c>
      <c r="J12" s="59">
        <f t="shared" si="0"/>
        <v>3.0397776619772721E-4</v>
      </c>
      <c r="K12" s="60">
        <f t="shared" si="0"/>
        <v>2.886911222053401E-2</v>
      </c>
      <c r="L12" s="61">
        <f t="shared" si="0"/>
        <v>6.3291139240506666E-3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77"/>
      <c r="G15" s="78"/>
      <c r="H15" s="78"/>
      <c r="I15" s="79"/>
      <c r="J15" s="62" t="str">
        <f t="shared" ref="J15:L21" si="1">IF(OR(G15=0,F15=0),"",G15/F15-1)</f>
        <v/>
      </c>
      <c r="K15" s="63" t="str">
        <f t="shared" si="1"/>
        <v/>
      </c>
      <c r="L15" s="64" t="str">
        <f t="shared" si="1"/>
        <v/>
      </c>
      <c r="N15" s="77">
        <f>9.6/2</f>
        <v>4.8</v>
      </c>
      <c r="O15" s="77">
        <f t="shared" ref="O15:Q16" si="2">9.6/2</f>
        <v>4.8</v>
      </c>
      <c r="P15" s="77">
        <f t="shared" si="2"/>
        <v>4.8</v>
      </c>
      <c r="Q15" s="77">
        <f t="shared" si="2"/>
        <v>4.8</v>
      </c>
      <c r="R15" s="62">
        <f t="shared" ref="R15:T21" si="3">IF(OR(O15=0,N15=0),"",O15/N15-1)</f>
        <v>0</v>
      </c>
      <c r="S15" s="63">
        <f t="shared" si="3"/>
        <v>0</v>
      </c>
      <c r="T15" s="64">
        <f t="shared" si="3"/>
        <v>0</v>
      </c>
      <c r="V15" s="86">
        <f>+F15+N15</f>
        <v>4.8</v>
      </c>
      <c r="W15" s="87">
        <f t="shared" ref="W15:Y21" si="4">+G15+O15</f>
        <v>4.8</v>
      </c>
      <c r="X15" s="87">
        <f t="shared" si="4"/>
        <v>4.8</v>
      </c>
      <c r="Y15" s="88">
        <f t="shared" si="4"/>
        <v>4.8</v>
      </c>
      <c r="Z15" s="59">
        <f t="shared" ref="Z15:AB21" si="5">IF(OR(W15=0,V15=0),"",W15/V15-1)</f>
        <v>0</v>
      </c>
      <c r="AA15" s="60">
        <f t="shared" si="5"/>
        <v>0</v>
      </c>
      <c r="AB15" s="61">
        <f t="shared" si="5"/>
        <v>0</v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80"/>
      <c r="G16" s="81"/>
      <c r="H16" s="81"/>
      <c r="I16" s="82"/>
      <c r="J16" s="65" t="str">
        <f t="shared" si="1"/>
        <v/>
      </c>
      <c r="K16" s="66" t="str">
        <f t="shared" si="1"/>
        <v/>
      </c>
      <c r="L16" s="67" t="str">
        <f t="shared" si="1"/>
        <v/>
      </c>
      <c r="N16" s="77">
        <f>9.6/2</f>
        <v>4.8</v>
      </c>
      <c r="O16" s="77">
        <f t="shared" si="2"/>
        <v>4.8</v>
      </c>
      <c r="P16" s="77">
        <f t="shared" si="2"/>
        <v>4.8</v>
      </c>
      <c r="Q16" s="77">
        <f t="shared" si="2"/>
        <v>4.8</v>
      </c>
      <c r="R16" s="65">
        <f t="shared" si="3"/>
        <v>0</v>
      </c>
      <c r="S16" s="66">
        <f t="shared" si="3"/>
        <v>0</v>
      </c>
      <c r="T16" s="67">
        <f t="shared" si="3"/>
        <v>0</v>
      </c>
      <c r="V16" s="89">
        <f t="shared" ref="V16:V21" si="6">+F16+N16</f>
        <v>4.8</v>
      </c>
      <c r="W16" s="90">
        <f t="shared" si="4"/>
        <v>4.8</v>
      </c>
      <c r="X16" s="90">
        <f t="shared" si="4"/>
        <v>4.8</v>
      </c>
      <c r="Y16" s="91">
        <f t="shared" si="4"/>
        <v>4.8</v>
      </c>
      <c r="Z16" s="68">
        <f t="shared" si="5"/>
        <v>0</v>
      </c>
      <c r="AA16" s="69">
        <f t="shared" si="5"/>
        <v>0</v>
      </c>
      <c r="AB16" s="70">
        <f t="shared" si="5"/>
        <v>0</v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98">
        <v>471</v>
      </c>
      <c r="G17" s="98">
        <v>501</v>
      </c>
      <c r="H17" s="98">
        <v>559</v>
      </c>
      <c r="I17" s="98">
        <v>590</v>
      </c>
      <c r="J17" s="68">
        <f t="shared" si="1"/>
        <v>6.3694267515923553E-2</v>
      </c>
      <c r="K17" s="69">
        <f t="shared" si="1"/>
        <v>0.11576846307385225</v>
      </c>
      <c r="L17" s="70">
        <f t="shared" si="1"/>
        <v>5.5456171735241533E-2</v>
      </c>
      <c r="M17" s="7">
        <f>+M15+M16</f>
        <v>0</v>
      </c>
      <c r="N17" s="98">
        <f>+N15+N16</f>
        <v>9.6</v>
      </c>
      <c r="O17" s="99">
        <f>+O15+O16</f>
        <v>9.6</v>
      </c>
      <c r="P17" s="99">
        <f>+P15+P16</f>
        <v>9.6</v>
      </c>
      <c r="Q17" s="100">
        <f>+Q15+Q16</f>
        <v>9.6</v>
      </c>
      <c r="R17" s="68">
        <f t="shared" si="3"/>
        <v>0</v>
      </c>
      <c r="S17" s="69">
        <f t="shared" si="3"/>
        <v>0</v>
      </c>
      <c r="T17" s="70">
        <f t="shared" si="3"/>
        <v>0</v>
      </c>
      <c r="U17" s="7"/>
      <c r="V17" s="98">
        <f>+V15+V16</f>
        <v>9.6</v>
      </c>
      <c r="W17" s="99">
        <f>+W15+W16</f>
        <v>9.6</v>
      </c>
      <c r="X17" s="99">
        <f>+X15+X16</f>
        <v>9.6</v>
      </c>
      <c r="Y17" s="100">
        <f>+Y15+Y16</f>
        <v>9.6</v>
      </c>
      <c r="Z17" s="68">
        <f t="shared" si="5"/>
        <v>0</v>
      </c>
      <c r="AA17" s="69">
        <f t="shared" si="5"/>
        <v>0</v>
      </c>
      <c r="AB17" s="70">
        <f t="shared" si="5"/>
        <v>0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75">
        <v>14</v>
      </c>
      <c r="G18" s="75">
        <v>17.079999999999998</v>
      </c>
      <c r="H18" s="75">
        <v>13.322399999999998</v>
      </c>
      <c r="I18" s="76">
        <v>14</v>
      </c>
      <c r="J18" s="59">
        <f t="shared" si="1"/>
        <v>0.21999999999999997</v>
      </c>
      <c r="K18" s="60">
        <f t="shared" si="1"/>
        <v>-0.21999999999999997</v>
      </c>
      <c r="L18" s="61">
        <f t="shared" si="1"/>
        <v>5.0861706599411693E-2</v>
      </c>
      <c r="N18" s="74">
        <v>1.7</v>
      </c>
      <c r="O18" s="75">
        <v>1.9</v>
      </c>
      <c r="P18" s="75">
        <v>2.2000000000000002</v>
      </c>
      <c r="Q18" s="76">
        <v>2.4</v>
      </c>
      <c r="R18" s="59">
        <f t="shared" si="3"/>
        <v>0.11764705882352944</v>
      </c>
      <c r="S18" s="60">
        <f t="shared" si="3"/>
        <v>0.15789473684210531</v>
      </c>
      <c r="T18" s="61">
        <f t="shared" si="3"/>
        <v>9.0909090909090828E-2</v>
      </c>
      <c r="V18" s="92">
        <f t="shared" si="6"/>
        <v>15.7</v>
      </c>
      <c r="W18" s="93">
        <f t="shared" si="4"/>
        <v>18.979999999999997</v>
      </c>
      <c r="X18" s="93">
        <f t="shared" si="4"/>
        <v>15.522399999999998</v>
      </c>
      <c r="Y18" s="94">
        <f t="shared" si="4"/>
        <v>16.399999999999999</v>
      </c>
      <c r="Z18" s="59">
        <f t="shared" si="5"/>
        <v>0.20891719745222925</v>
      </c>
      <c r="AA18" s="60">
        <f t="shared" si="5"/>
        <v>-0.18217070600632246</v>
      </c>
      <c r="AB18" s="61">
        <f t="shared" si="5"/>
        <v>5.6537648817193364E-2</v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84">
        <v>0</v>
      </c>
      <c r="G19" s="84">
        <v>0</v>
      </c>
      <c r="H19" s="84">
        <v>0</v>
      </c>
      <c r="I19" s="85">
        <v>0</v>
      </c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>
        <v>0</v>
      </c>
      <c r="O19" s="84">
        <v>0</v>
      </c>
      <c r="P19" s="84">
        <v>0</v>
      </c>
      <c r="Q19" s="85">
        <v>0</v>
      </c>
      <c r="R19" s="68" t="str">
        <f t="shared" si="3"/>
        <v/>
      </c>
      <c r="S19" s="69" t="str">
        <f t="shared" si="3"/>
        <v/>
      </c>
      <c r="T19" s="70" t="str">
        <f t="shared" si="3"/>
        <v/>
      </c>
      <c r="V19" s="95">
        <f t="shared" si="6"/>
        <v>0</v>
      </c>
      <c r="W19" s="96">
        <f t="shared" si="4"/>
        <v>0</v>
      </c>
      <c r="X19" s="96">
        <f t="shared" si="4"/>
        <v>0</v>
      </c>
      <c r="Y19" s="97">
        <f t="shared" si="4"/>
        <v>0</v>
      </c>
      <c r="Z19" s="68" t="str">
        <f t="shared" si="5"/>
        <v/>
      </c>
      <c r="AA19" s="69" t="str">
        <f t="shared" si="5"/>
        <v/>
      </c>
      <c r="AB19" s="70" t="str">
        <f t="shared" si="5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75">
        <v>5.6</v>
      </c>
      <c r="G20" s="75">
        <v>4.76</v>
      </c>
      <c r="H20" s="75">
        <v>4.4267999999999992</v>
      </c>
      <c r="I20" s="76">
        <v>4</v>
      </c>
      <c r="J20" s="59">
        <f t="shared" si="1"/>
        <v>-0.15000000000000002</v>
      </c>
      <c r="K20" s="60">
        <f t="shared" si="1"/>
        <v>-7.0000000000000173E-2</v>
      </c>
      <c r="L20" s="61">
        <f t="shared" si="1"/>
        <v>-9.6412758651847619E-2</v>
      </c>
      <c r="N20" s="74">
        <v>3.9</v>
      </c>
      <c r="O20" s="75">
        <v>3.4</v>
      </c>
      <c r="P20" s="75">
        <v>3</v>
      </c>
      <c r="Q20" s="76">
        <v>2.8</v>
      </c>
      <c r="R20" s="59">
        <f t="shared" si="3"/>
        <v>-0.12820512820512819</v>
      </c>
      <c r="S20" s="60">
        <f t="shared" si="3"/>
        <v>-0.11764705882352944</v>
      </c>
      <c r="T20" s="61">
        <f t="shared" si="3"/>
        <v>-6.6666666666666763E-2</v>
      </c>
      <c r="V20" s="92">
        <f t="shared" si="6"/>
        <v>9.5</v>
      </c>
      <c r="W20" s="93">
        <f t="shared" si="4"/>
        <v>8.16</v>
      </c>
      <c r="X20" s="93">
        <f t="shared" si="4"/>
        <v>7.4267999999999992</v>
      </c>
      <c r="Y20" s="94">
        <f t="shared" si="4"/>
        <v>6.8</v>
      </c>
      <c r="Z20" s="59">
        <f t="shared" si="5"/>
        <v>-0.14105263157894732</v>
      </c>
      <c r="AA20" s="60">
        <f t="shared" si="5"/>
        <v>-8.9852941176470691E-2</v>
      </c>
      <c r="AB20" s="61">
        <f t="shared" si="5"/>
        <v>-8.4397048526956397E-2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84">
        <v>0.34943999999999997</v>
      </c>
      <c r="G21" s="84">
        <v>0.40664</v>
      </c>
      <c r="H21" s="84">
        <v>0.40664</v>
      </c>
      <c r="I21" s="85">
        <v>0.4</v>
      </c>
      <c r="J21" s="68">
        <f t="shared" si="1"/>
        <v>0.16369047619047628</v>
      </c>
      <c r="K21" s="69">
        <f t="shared" si="1"/>
        <v>0</v>
      </c>
      <c r="L21" s="70">
        <f t="shared" si="1"/>
        <v>-1.6328939602596848E-2</v>
      </c>
      <c r="N21" s="83"/>
      <c r="O21" s="84"/>
      <c r="P21" s="84"/>
      <c r="Q21" s="85"/>
      <c r="R21" s="68" t="str">
        <f t="shared" si="3"/>
        <v/>
      </c>
      <c r="S21" s="69" t="str">
        <f t="shared" si="3"/>
        <v/>
      </c>
      <c r="T21" s="70" t="str">
        <f t="shared" si="3"/>
        <v/>
      </c>
      <c r="V21" s="95">
        <f t="shared" si="6"/>
        <v>0.34943999999999997</v>
      </c>
      <c r="W21" s="96">
        <f t="shared" si="4"/>
        <v>0.40664</v>
      </c>
      <c r="X21" s="96">
        <f t="shared" si="4"/>
        <v>0.40664</v>
      </c>
      <c r="Y21" s="97">
        <f t="shared" si="4"/>
        <v>0.4</v>
      </c>
      <c r="Z21" s="68">
        <f t="shared" si="5"/>
        <v>0.16369047619047628</v>
      </c>
      <c r="AA21" s="69">
        <f t="shared" si="5"/>
        <v>0</v>
      </c>
      <c r="AB21" s="70">
        <f t="shared" si="5"/>
        <v>-1.6328939602596848E-2</v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77"/>
      <c r="G24" s="78"/>
      <c r="H24" s="78"/>
      <c r="I24" s="79"/>
      <c r="J24" s="59" t="str">
        <f t="shared" ref="J24:L30" si="7">IF(OR(G24=0,F24=0),"",G24/F24-1)</f>
        <v/>
      </c>
      <c r="K24" s="60" t="str">
        <f t="shared" si="7"/>
        <v/>
      </c>
      <c r="L24" s="61" t="str">
        <f t="shared" si="7"/>
        <v/>
      </c>
      <c r="N24" s="77"/>
      <c r="O24" s="78"/>
      <c r="P24" s="78"/>
      <c r="Q24" s="79"/>
      <c r="R24" s="59" t="str">
        <f t="shared" ref="R24:T30" si="8">IF(OR(O24=0,N24=0),"",O24/N24-1)</f>
        <v/>
      </c>
      <c r="S24" s="60" t="str">
        <f t="shared" si="8"/>
        <v/>
      </c>
      <c r="T24" s="61" t="str">
        <f t="shared" si="8"/>
        <v/>
      </c>
      <c r="V24" s="86">
        <f t="shared" ref="V24:Y30" si="9">+F24+N24</f>
        <v>0</v>
      </c>
      <c r="W24" s="87">
        <f t="shared" si="9"/>
        <v>0</v>
      </c>
      <c r="X24" s="87">
        <f t="shared" si="9"/>
        <v>0</v>
      </c>
      <c r="Y24" s="88">
        <f t="shared" si="9"/>
        <v>0</v>
      </c>
      <c r="Z24" s="59" t="str">
        <f t="shared" ref="Z24:AB30" si="10">IF(OR(W24=0,V24=0),"",W24/V24-1)</f>
        <v/>
      </c>
      <c r="AA24" s="60" t="str">
        <f t="shared" si="10"/>
        <v/>
      </c>
      <c r="AB24" s="61" t="str">
        <f t="shared" si="10"/>
        <v/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80"/>
      <c r="G25" s="81"/>
      <c r="H25" s="81"/>
      <c r="I25" s="82"/>
      <c r="J25" s="68" t="str">
        <f t="shared" si="7"/>
        <v/>
      </c>
      <c r="K25" s="69" t="str">
        <f t="shared" si="7"/>
        <v/>
      </c>
      <c r="L25" s="70" t="str">
        <f t="shared" si="7"/>
        <v/>
      </c>
      <c r="N25" s="80"/>
      <c r="O25" s="81"/>
      <c r="P25" s="81"/>
      <c r="Q25" s="82"/>
      <c r="R25" s="68" t="str">
        <f t="shared" si="8"/>
        <v/>
      </c>
      <c r="S25" s="69" t="str">
        <f t="shared" si="8"/>
        <v/>
      </c>
      <c r="T25" s="70" t="str">
        <f t="shared" si="8"/>
        <v/>
      </c>
      <c r="V25" s="89">
        <f t="shared" si="9"/>
        <v>0</v>
      </c>
      <c r="W25" s="90">
        <f t="shared" si="9"/>
        <v>0</v>
      </c>
      <c r="X25" s="90">
        <f t="shared" si="9"/>
        <v>0</v>
      </c>
      <c r="Y25" s="91">
        <f t="shared" si="9"/>
        <v>0</v>
      </c>
      <c r="Z25" s="68" t="str">
        <f t="shared" si="10"/>
        <v/>
      </c>
      <c r="AA25" s="69" t="str">
        <f t="shared" si="10"/>
        <v/>
      </c>
      <c r="AB25" s="70" t="str">
        <f t="shared" si="10"/>
        <v/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98">
        <f>F17+(F18+F19)-(F20+F21)</f>
        <v>479.05056000000002</v>
      </c>
      <c r="G26" s="98">
        <f>G17+(G18+G19)-(G20+G21)</f>
        <v>512.91336000000001</v>
      </c>
      <c r="H26" s="98">
        <f>H17+(H18+H19)-(H20+H21)</f>
        <v>567.48896000000002</v>
      </c>
      <c r="I26" s="98">
        <f>I17+(I18+I19)-(I20+I21)</f>
        <v>599.6</v>
      </c>
      <c r="J26" s="68">
        <f t="shared" si="7"/>
        <v>7.0687319518006664E-2</v>
      </c>
      <c r="K26" s="69">
        <f t="shared" si="7"/>
        <v>0.10640315549589108</v>
      </c>
      <c r="L26" s="70">
        <f t="shared" si="7"/>
        <v>5.6584431175542127E-2</v>
      </c>
      <c r="M26" s="7"/>
      <c r="N26" s="98">
        <v>6.8</v>
      </c>
      <c r="O26" s="98">
        <v>6.8</v>
      </c>
      <c r="P26" s="98">
        <v>6.8</v>
      </c>
      <c r="Q26" s="98">
        <v>6.8</v>
      </c>
      <c r="R26" s="68">
        <f t="shared" si="8"/>
        <v>0</v>
      </c>
      <c r="S26" s="69">
        <f t="shared" si="8"/>
        <v>0</v>
      </c>
      <c r="T26" s="70">
        <f t="shared" si="8"/>
        <v>0</v>
      </c>
      <c r="U26" s="7"/>
      <c r="V26" s="98">
        <f>+V24+V25</f>
        <v>0</v>
      </c>
      <c r="W26" s="99">
        <f>+W24+W25</f>
        <v>0</v>
      </c>
      <c r="X26" s="99">
        <f>+X24+X25</f>
        <v>0</v>
      </c>
      <c r="Y26" s="100">
        <f>+Y24+Y25</f>
        <v>0</v>
      </c>
      <c r="Z26" s="68" t="str">
        <f t="shared" si="10"/>
        <v/>
      </c>
      <c r="AA26" s="69" t="str">
        <f t="shared" si="10"/>
        <v/>
      </c>
      <c r="AB26" s="70" t="str">
        <f t="shared" si="10"/>
        <v/>
      </c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75">
        <v>30.8</v>
      </c>
      <c r="G27" s="75">
        <v>37.799999999999997</v>
      </c>
      <c r="H27" s="75">
        <v>36</v>
      </c>
      <c r="I27" s="76">
        <v>36</v>
      </c>
      <c r="J27" s="59">
        <f t="shared" si="7"/>
        <v>0.22727272727272707</v>
      </c>
      <c r="K27" s="60">
        <f t="shared" si="7"/>
        <v>-4.7619047619047561E-2</v>
      </c>
      <c r="L27" s="61">
        <f t="shared" si="7"/>
        <v>0</v>
      </c>
      <c r="N27" s="74"/>
      <c r="O27" s="75"/>
      <c r="P27" s="75"/>
      <c r="Q27" s="76"/>
      <c r="R27" s="59" t="str">
        <f t="shared" si="8"/>
        <v/>
      </c>
      <c r="S27" s="60" t="str">
        <f t="shared" si="8"/>
        <v/>
      </c>
      <c r="T27" s="61" t="str">
        <f t="shared" si="8"/>
        <v/>
      </c>
      <c r="V27" s="92">
        <f t="shared" si="9"/>
        <v>30.8</v>
      </c>
      <c r="W27" s="93">
        <f t="shared" si="9"/>
        <v>37.799999999999997</v>
      </c>
      <c r="X27" s="93">
        <f t="shared" si="9"/>
        <v>36</v>
      </c>
      <c r="Y27" s="94">
        <f t="shared" si="9"/>
        <v>36</v>
      </c>
      <c r="Z27" s="59">
        <f t="shared" si="10"/>
        <v>0.22727272727272707</v>
      </c>
      <c r="AA27" s="60">
        <f t="shared" si="10"/>
        <v>-4.7619047619047561E-2</v>
      </c>
      <c r="AB27" s="61">
        <f t="shared" si="10"/>
        <v>0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84">
        <v>0.2</v>
      </c>
      <c r="G28" s="84">
        <v>0.3</v>
      </c>
      <c r="H28" s="84">
        <v>0.3</v>
      </c>
      <c r="I28" s="85">
        <v>0.3</v>
      </c>
      <c r="J28" s="68">
        <f t="shared" si="7"/>
        <v>0.49999999999999978</v>
      </c>
      <c r="K28" s="69">
        <f t="shared" si="7"/>
        <v>0</v>
      </c>
      <c r="L28" s="70">
        <f t="shared" si="7"/>
        <v>0</v>
      </c>
      <c r="N28" s="83"/>
      <c r="O28" s="84"/>
      <c r="P28" s="84"/>
      <c r="Q28" s="85"/>
      <c r="R28" s="68" t="str">
        <f t="shared" si="8"/>
        <v/>
      </c>
      <c r="S28" s="69" t="str">
        <f t="shared" si="8"/>
        <v/>
      </c>
      <c r="T28" s="70" t="str">
        <f t="shared" si="8"/>
        <v/>
      </c>
      <c r="V28" s="95">
        <f t="shared" si="9"/>
        <v>0.2</v>
      </c>
      <c r="W28" s="96">
        <f t="shared" si="9"/>
        <v>0.3</v>
      </c>
      <c r="X28" s="96">
        <f t="shared" si="9"/>
        <v>0.3</v>
      </c>
      <c r="Y28" s="97">
        <f t="shared" si="9"/>
        <v>0.3</v>
      </c>
      <c r="Z28" s="68">
        <f t="shared" si="10"/>
        <v>0.49999999999999978</v>
      </c>
      <c r="AA28" s="69">
        <f t="shared" si="10"/>
        <v>0</v>
      </c>
      <c r="AB28" s="70">
        <f t="shared" si="10"/>
        <v>0</v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75">
        <v>399</v>
      </c>
      <c r="G29" s="75">
        <v>386.97</v>
      </c>
      <c r="H29" s="75">
        <v>407</v>
      </c>
      <c r="I29" s="76">
        <v>420</v>
      </c>
      <c r="J29" s="59">
        <f t="shared" si="7"/>
        <v>-3.0150375939849594E-2</v>
      </c>
      <c r="K29" s="60">
        <f t="shared" si="7"/>
        <v>5.176111843295339E-2</v>
      </c>
      <c r="L29" s="61">
        <f t="shared" si="7"/>
        <v>3.1941031941032039E-2</v>
      </c>
      <c r="N29" s="74">
        <v>4.4000000000000004</v>
      </c>
      <c r="O29" s="74">
        <v>4.4000000000000004</v>
      </c>
      <c r="P29" s="74">
        <v>4.4000000000000004</v>
      </c>
      <c r="Q29" s="74">
        <v>4.4000000000000004</v>
      </c>
      <c r="R29" s="59">
        <f t="shared" si="8"/>
        <v>0</v>
      </c>
      <c r="S29" s="60">
        <f t="shared" si="8"/>
        <v>0</v>
      </c>
      <c r="T29" s="61">
        <f t="shared" si="8"/>
        <v>0</v>
      </c>
      <c r="V29" s="92">
        <f t="shared" si="9"/>
        <v>403.4</v>
      </c>
      <c r="W29" s="93">
        <f t="shared" si="9"/>
        <v>391.37</v>
      </c>
      <c r="X29" s="93">
        <f t="shared" si="9"/>
        <v>411.4</v>
      </c>
      <c r="Y29" s="94">
        <f t="shared" si="9"/>
        <v>424.4</v>
      </c>
      <c r="Z29" s="59">
        <f t="shared" si="10"/>
        <v>-2.9821517104610784E-2</v>
      </c>
      <c r="AA29" s="60">
        <f t="shared" si="10"/>
        <v>5.1179191046835326E-2</v>
      </c>
      <c r="AB29" s="61">
        <f t="shared" si="10"/>
        <v>3.1599416626154619E-2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84">
        <v>45</v>
      </c>
      <c r="G30" s="84">
        <v>48.150000000000006</v>
      </c>
      <c r="H30" s="84">
        <v>45</v>
      </c>
      <c r="I30" s="85">
        <v>45</v>
      </c>
      <c r="J30" s="68">
        <f t="shared" si="7"/>
        <v>7.0000000000000062E-2</v>
      </c>
      <c r="K30" s="69">
        <f t="shared" si="7"/>
        <v>-6.542056074766367E-2</v>
      </c>
      <c r="L30" s="70">
        <f t="shared" si="7"/>
        <v>0</v>
      </c>
      <c r="N30" s="83"/>
      <c r="O30" s="84"/>
      <c r="P30" s="84"/>
      <c r="Q30" s="85"/>
      <c r="R30" s="68" t="str">
        <f t="shared" si="8"/>
        <v/>
      </c>
      <c r="S30" s="69" t="str">
        <f t="shared" si="8"/>
        <v/>
      </c>
      <c r="T30" s="70" t="str">
        <f t="shared" si="8"/>
        <v/>
      </c>
      <c r="V30" s="95">
        <f t="shared" si="9"/>
        <v>45</v>
      </c>
      <c r="W30" s="96">
        <f t="shared" si="9"/>
        <v>48.150000000000006</v>
      </c>
      <c r="X30" s="96">
        <f t="shared" si="9"/>
        <v>45</v>
      </c>
      <c r="Y30" s="97">
        <f t="shared" si="9"/>
        <v>45</v>
      </c>
      <c r="Z30" s="65">
        <f t="shared" si="10"/>
        <v>7.0000000000000062E-2</v>
      </c>
      <c r="AA30" s="66">
        <f t="shared" si="10"/>
        <v>-6.542056074766367E-2</v>
      </c>
      <c r="AB30" s="67">
        <f t="shared" si="10"/>
        <v>0</v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77"/>
      <c r="G33" s="78"/>
      <c r="H33" s="78"/>
      <c r="I33" s="79"/>
      <c r="J33" s="62" t="str">
        <f t="shared" ref="J33:L36" si="11">IF(OR(G33=0,F33=0),"",G33/F33-1)</f>
        <v/>
      </c>
      <c r="K33" s="63" t="str">
        <f t="shared" si="11"/>
        <v/>
      </c>
      <c r="L33" s="64" t="str">
        <f t="shared" si="11"/>
        <v/>
      </c>
      <c r="N33" s="77"/>
      <c r="O33" s="78"/>
      <c r="P33" s="78"/>
      <c r="Q33" s="79"/>
      <c r="R33" s="62" t="str">
        <f t="shared" ref="R33:T36" si="12">IF(OR(O33=0,N33=0),"",O33/N33-1)</f>
        <v/>
      </c>
      <c r="S33" s="63" t="str">
        <f t="shared" si="12"/>
        <v/>
      </c>
      <c r="T33" s="64" t="str">
        <f t="shared" si="12"/>
        <v/>
      </c>
      <c r="V33" s="86">
        <f t="shared" ref="V33:Y34" si="13">+F33+N33</f>
        <v>0</v>
      </c>
      <c r="W33" s="87">
        <f t="shared" si="13"/>
        <v>0</v>
      </c>
      <c r="X33" s="87">
        <f t="shared" si="13"/>
        <v>0</v>
      </c>
      <c r="Y33" s="88">
        <f t="shared" si="13"/>
        <v>0</v>
      </c>
      <c r="Z33" s="62" t="str">
        <f t="shared" ref="Z33:AB36" si="14">IF(OR(W33=0,V33=0),"",W33/V33-1)</f>
        <v/>
      </c>
      <c r="AA33" s="63" t="str">
        <f t="shared" si="14"/>
        <v/>
      </c>
      <c r="AB33" s="64" t="str">
        <f t="shared" si="14"/>
        <v/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80"/>
      <c r="G34" s="81"/>
      <c r="H34" s="81"/>
      <c r="I34" s="82"/>
      <c r="J34" s="65" t="str">
        <f t="shared" si="11"/>
        <v/>
      </c>
      <c r="K34" s="66" t="str">
        <f t="shared" si="11"/>
        <v/>
      </c>
      <c r="L34" s="67" t="str">
        <f t="shared" si="11"/>
        <v/>
      </c>
      <c r="N34" s="80"/>
      <c r="O34" s="81"/>
      <c r="P34" s="81"/>
      <c r="Q34" s="82"/>
      <c r="R34" s="65" t="str">
        <f t="shared" si="12"/>
        <v/>
      </c>
      <c r="S34" s="66" t="str">
        <f t="shared" si="12"/>
        <v/>
      </c>
      <c r="T34" s="67" t="str">
        <f t="shared" si="12"/>
        <v/>
      </c>
      <c r="V34" s="89">
        <f t="shared" si="13"/>
        <v>0</v>
      </c>
      <c r="W34" s="90">
        <f t="shared" si="13"/>
        <v>0</v>
      </c>
      <c r="X34" s="90">
        <f t="shared" si="13"/>
        <v>0</v>
      </c>
      <c r="Y34" s="91">
        <f t="shared" si="13"/>
        <v>0</v>
      </c>
      <c r="Z34" s="65" t="str">
        <f t="shared" si="14"/>
        <v/>
      </c>
      <c r="AA34" s="66" t="str">
        <f t="shared" si="14"/>
        <v/>
      </c>
      <c r="AB34" s="67" t="str">
        <f t="shared" si="14"/>
        <v/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98">
        <v>46</v>
      </c>
      <c r="G35" s="99">
        <v>80</v>
      </c>
      <c r="H35" s="99">
        <v>107</v>
      </c>
      <c r="I35" s="100">
        <v>120.47187094502787</v>
      </c>
      <c r="J35" s="68">
        <f t="shared" si="11"/>
        <v>0.73913043478260865</v>
      </c>
      <c r="K35" s="69">
        <f t="shared" si="11"/>
        <v>0.33749999999999991</v>
      </c>
      <c r="L35" s="70">
        <f t="shared" si="11"/>
        <v>0.12590533593483988</v>
      </c>
      <c r="M35" s="7"/>
      <c r="N35" s="98">
        <v>2.4</v>
      </c>
      <c r="O35" s="98">
        <v>2.4</v>
      </c>
      <c r="P35" s="98">
        <v>2.4</v>
      </c>
      <c r="Q35" s="98">
        <v>2.4</v>
      </c>
      <c r="R35" s="68">
        <f t="shared" si="12"/>
        <v>0</v>
      </c>
      <c r="S35" s="69">
        <f t="shared" si="12"/>
        <v>0</v>
      </c>
      <c r="T35" s="70">
        <f t="shared" si="12"/>
        <v>0</v>
      </c>
      <c r="U35" s="7"/>
      <c r="V35" s="98">
        <f>+V33+V34</f>
        <v>0</v>
      </c>
      <c r="W35" s="99">
        <f>+W33+W34</f>
        <v>0</v>
      </c>
      <c r="X35" s="99">
        <f>+X33+X34</f>
        <v>0</v>
      </c>
      <c r="Y35" s="100">
        <f>+Y33+Y34</f>
        <v>0</v>
      </c>
      <c r="Z35" s="68" t="str">
        <f t="shared" si="14"/>
        <v/>
      </c>
      <c r="AA35" s="69" t="str">
        <f t="shared" si="14"/>
        <v/>
      </c>
      <c r="AB35" s="70" t="str">
        <f t="shared" si="14"/>
        <v/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83">
        <v>1.2105263157894737</v>
      </c>
      <c r="G36" s="83">
        <v>2.1052631578947367</v>
      </c>
      <c r="H36" s="83">
        <v>2.8157894736842106</v>
      </c>
      <c r="I36" s="83">
        <v>3.1703123932902071</v>
      </c>
      <c r="J36" s="68">
        <f t="shared" si="11"/>
        <v>0.73913043478260865</v>
      </c>
      <c r="K36" s="69">
        <f t="shared" si="11"/>
        <v>0.33750000000000013</v>
      </c>
      <c r="L36" s="70">
        <f t="shared" si="11"/>
        <v>0.12590533593483988</v>
      </c>
      <c r="N36" s="84">
        <f>N35*0.7/38</f>
        <v>4.4210526315789471E-2</v>
      </c>
      <c r="O36" s="84">
        <f>O35*0.7/38</f>
        <v>4.4210526315789471E-2</v>
      </c>
      <c r="P36" s="84">
        <f>P35*0.7/38</f>
        <v>4.4210526315789471E-2</v>
      </c>
      <c r="Q36" s="84">
        <f>Q35*0.7/38</f>
        <v>4.4210526315789471E-2</v>
      </c>
      <c r="R36" s="68">
        <f t="shared" si="12"/>
        <v>0</v>
      </c>
      <c r="S36" s="69">
        <f t="shared" si="12"/>
        <v>0</v>
      </c>
      <c r="T36" s="70">
        <f t="shared" si="12"/>
        <v>0</v>
      </c>
      <c r="V36" s="95">
        <f>+F36+N36</f>
        <v>1.2547368421052632</v>
      </c>
      <c r="W36" s="96">
        <f>+G36+O36</f>
        <v>2.149473684210526</v>
      </c>
      <c r="X36" s="96">
        <f>+H36+P36</f>
        <v>2.86</v>
      </c>
      <c r="Y36" s="97">
        <f>+I36+Q36</f>
        <v>3.2145229196059963</v>
      </c>
      <c r="Z36" s="68">
        <f t="shared" si="14"/>
        <v>0.71308724832214732</v>
      </c>
      <c r="AA36" s="69">
        <f t="shared" si="14"/>
        <v>0.33055827619980427</v>
      </c>
      <c r="AB36" s="70">
        <f t="shared" si="14"/>
        <v>0.12395906279929947</v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392"/>
      <c r="G37" s="392"/>
      <c r="H37" s="392"/>
      <c r="I37" s="39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102">
        <v>322.3</v>
      </c>
      <c r="G42" s="102">
        <v>309.04000000000002</v>
      </c>
      <c r="H42" s="102">
        <v>309</v>
      </c>
      <c r="I42" s="103">
        <v>310</v>
      </c>
      <c r="J42" s="62">
        <f t="shared" ref="J42:L44" si="15">IF(OR(G42=0,F42=0),"",G42/F42-1)</f>
        <v>-4.1141793360223389E-2</v>
      </c>
      <c r="K42" s="63">
        <f t="shared" si="15"/>
        <v>-1.2943308309609769E-4</v>
      </c>
      <c r="L42" s="64">
        <f t="shared" si="15"/>
        <v>3.2362459546926292E-3</v>
      </c>
      <c r="N42" s="101"/>
      <c r="O42" s="102"/>
      <c r="P42" s="102"/>
      <c r="Q42" s="103"/>
      <c r="R42" s="62" t="str">
        <f t="shared" ref="R42:T44" si="16">IF(OR(O42=0,N42=0),"",O42/N42-1)</f>
        <v/>
      </c>
      <c r="S42" s="63" t="str">
        <f t="shared" si="16"/>
        <v/>
      </c>
      <c r="T42" s="64" t="str">
        <f t="shared" si="16"/>
        <v/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105">
        <v>315.60000000000002</v>
      </c>
      <c r="G43" s="105">
        <v>313.87</v>
      </c>
      <c r="H43" s="105">
        <v>312</v>
      </c>
      <c r="I43" s="106">
        <v>315</v>
      </c>
      <c r="J43" s="65">
        <f t="shared" si="15"/>
        <v>-5.4816223067174485E-3</v>
      </c>
      <c r="K43" s="66">
        <f t="shared" si="15"/>
        <v>-5.9578806512250448E-3</v>
      </c>
      <c r="L43" s="67">
        <f t="shared" si="15"/>
        <v>9.6153846153845812E-3</v>
      </c>
      <c r="N43" s="104"/>
      <c r="O43" s="105"/>
      <c r="P43" s="105"/>
      <c r="Q43" s="106"/>
      <c r="R43" s="65" t="str">
        <f t="shared" si="16"/>
        <v/>
      </c>
      <c r="S43" s="66" t="str">
        <f t="shared" si="16"/>
        <v/>
      </c>
      <c r="T43" s="67" t="str">
        <f t="shared" si="16"/>
        <v/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318.95000000000005</v>
      </c>
      <c r="G44" s="108">
        <f>(G42+G43)/2</f>
        <v>311.45500000000004</v>
      </c>
      <c r="H44" s="108">
        <f>(H42+H43)/2</f>
        <v>310.5</v>
      </c>
      <c r="I44" s="109">
        <f>(I42+I43)/2</f>
        <v>312.5</v>
      </c>
      <c r="J44" s="68">
        <f t="shared" si="15"/>
        <v>-2.3498981031509603E-2</v>
      </c>
      <c r="K44" s="69">
        <f t="shared" si="15"/>
        <v>-3.0662535518776179E-3</v>
      </c>
      <c r="L44" s="70">
        <f t="shared" si="15"/>
        <v>6.441223832528209E-3</v>
      </c>
      <c r="M44" s="7"/>
      <c r="N44" s="107">
        <f>(N42+N43)/2</f>
        <v>0</v>
      </c>
      <c r="O44" s="108">
        <f>(O42+O43)/2</f>
        <v>0</v>
      </c>
      <c r="P44" s="108">
        <f>(P42+P43)/2</f>
        <v>0</v>
      </c>
      <c r="Q44" s="109">
        <f>(Q42+Q43)/2</f>
        <v>0</v>
      </c>
      <c r="R44" s="68" t="str">
        <f t="shared" si="16"/>
        <v/>
      </c>
      <c r="S44" s="69" t="str">
        <f t="shared" si="16"/>
        <v/>
      </c>
      <c r="T44" s="70" t="str">
        <f t="shared" si="16"/>
        <v/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1">
        <v>256.60000000000002</v>
      </c>
      <c r="G48" s="101">
        <v>239</v>
      </c>
      <c r="H48" s="102">
        <v>238</v>
      </c>
      <c r="I48" s="103">
        <v>235</v>
      </c>
      <c r="J48" s="62">
        <f t="shared" ref="J48:L50" si="17">IF(OR(G48=0,F48=0),"",G48/F48-1)</f>
        <v>-6.8589243959470081E-2</v>
      </c>
      <c r="K48" s="63">
        <f t="shared" si="17"/>
        <v>-4.1841004184099972E-3</v>
      </c>
      <c r="L48" s="64">
        <f t="shared" si="17"/>
        <v>-1.2605042016806678E-2</v>
      </c>
      <c r="N48" s="101"/>
      <c r="O48" s="102"/>
      <c r="P48" s="102"/>
      <c r="Q48" s="103"/>
      <c r="R48" s="62" t="str">
        <f t="shared" ref="R48:T50" si="18">IF(OR(O48=0,N48=0),"",O48/N48-1)</f>
        <v/>
      </c>
      <c r="S48" s="63" t="str">
        <f t="shared" si="18"/>
        <v/>
      </c>
      <c r="T48" s="64" t="str">
        <f t="shared" si="18"/>
        <v/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1">
        <v>240.71</v>
      </c>
      <c r="G49" s="101">
        <v>237.66</v>
      </c>
      <c r="H49" s="105">
        <v>240</v>
      </c>
      <c r="I49" s="106">
        <v>240</v>
      </c>
      <c r="J49" s="65">
        <f t="shared" si="17"/>
        <v>-1.2670848739146701E-2</v>
      </c>
      <c r="K49" s="66">
        <f t="shared" si="17"/>
        <v>9.8459984852310445E-3</v>
      </c>
      <c r="L49" s="67">
        <f t="shared" si="17"/>
        <v>0</v>
      </c>
      <c r="N49" s="104"/>
      <c r="O49" s="105"/>
      <c r="P49" s="105"/>
      <c r="Q49" s="106"/>
      <c r="R49" s="65" t="str">
        <f t="shared" si="18"/>
        <v/>
      </c>
      <c r="S49" s="66" t="str">
        <f t="shared" si="18"/>
        <v/>
      </c>
      <c r="T49" s="67" t="str">
        <f t="shared" si="18"/>
        <v/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f>(F48+F49)/2</f>
        <v>248.65500000000003</v>
      </c>
      <c r="G50" s="108">
        <f>(G48+G49)/2</f>
        <v>238.32999999999998</v>
      </c>
      <c r="H50" s="108">
        <f>(H48+H49)/2</f>
        <v>239</v>
      </c>
      <c r="I50" s="109">
        <f>(I48+I49)/2</f>
        <v>237.5</v>
      </c>
      <c r="J50" s="68">
        <f t="shared" si="17"/>
        <v>-4.15233958697796E-2</v>
      </c>
      <c r="K50" s="69">
        <f t="shared" si="17"/>
        <v>2.8112281290648689E-3</v>
      </c>
      <c r="L50" s="70">
        <f t="shared" si="17"/>
        <v>-6.2761506276151069E-3</v>
      </c>
      <c r="M50" s="7"/>
      <c r="N50" s="107">
        <f>(N48+N49)/2</f>
        <v>0</v>
      </c>
      <c r="O50" s="108">
        <f>(O48+O49)/2</f>
        <v>0</v>
      </c>
      <c r="P50" s="108">
        <f>(P48+P49)/2</f>
        <v>0</v>
      </c>
      <c r="Q50" s="109">
        <f>(Q48+Q49)/2</f>
        <v>0</v>
      </c>
      <c r="R50" s="68" t="str">
        <f t="shared" si="18"/>
        <v/>
      </c>
      <c r="S50" s="69" t="str">
        <f t="shared" si="18"/>
        <v/>
      </c>
      <c r="T50" s="70" t="str">
        <f t="shared" si="18"/>
        <v/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D1:U1"/>
    <mergeCell ref="A3:B3"/>
    <mergeCell ref="C3:D3"/>
    <mergeCell ref="A5:B5"/>
    <mergeCell ref="C5:D5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F13:F14"/>
    <mergeCell ref="G13:G14"/>
    <mergeCell ref="H13:H14"/>
    <mergeCell ref="I13:I14"/>
    <mergeCell ref="N13:N14"/>
    <mergeCell ref="O13:O14"/>
    <mergeCell ref="P13:P14"/>
    <mergeCell ref="F22:F23"/>
    <mergeCell ref="G22:G23"/>
    <mergeCell ref="H22:H23"/>
    <mergeCell ref="I22:I23"/>
    <mergeCell ref="N22:N23"/>
    <mergeCell ref="Q13:Q14"/>
    <mergeCell ref="V13:V14"/>
    <mergeCell ref="W13:W14"/>
    <mergeCell ref="X13:X14"/>
    <mergeCell ref="Y13:Y14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F40:F41"/>
    <mergeCell ref="G40:G41"/>
    <mergeCell ref="H40:H41"/>
    <mergeCell ref="I40:I41"/>
    <mergeCell ref="N40:N41"/>
    <mergeCell ref="W31:W32"/>
    <mergeCell ref="X31:X32"/>
    <mergeCell ref="Y31:Y32"/>
    <mergeCell ref="F39:L39"/>
    <mergeCell ref="N39:T39"/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O40:O41"/>
    <mergeCell ref="P40:P41"/>
    <mergeCell ref="Q40:Q41"/>
  </mergeCells>
  <conditionalFormatting sqref="J50:M50 U56 U54 J44:T44 J17:M17 V33:AB33 V36:Y36 F35:M35 V34:Y34 V30:Y30 V24:Y25 V29:AB29 V27:Y28 V18:Y21 V15:Y16 U26:Y26 M26 R17:AB17 R35:AB35">
    <cfRule type="cellIs" dxfId="24" priority="10" stopIfTrue="1" operator="equal">
      <formula>0</formula>
    </cfRule>
  </conditionalFormatting>
  <conditionalFormatting sqref="N50:T50">
    <cfRule type="cellIs" dxfId="23" priority="9" stopIfTrue="1" operator="equal">
      <formula>0</formula>
    </cfRule>
  </conditionalFormatting>
  <conditionalFormatting sqref="F12:I12">
    <cfRule type="cellIs" dxfId="22" priority="8" stopIfTrue="1" operator="equal">
      <formula>0</formula>
    </cfRule>
  </conditionalFormatting>
  <conditionalFormatting sqref="F17:I17">
    <cfRule type="cellIs" dxfId="21" priority="7" stopIfTrue="1" operator="equal">
      <formula>0</formula>
    </cfRule>
  </conditionalFormatting>
  <conditionalFormatting sqref="F26:I26">
    <cfRule type="cellIs" dxfId="20" priority="6" stopIfTrue="1" operator="equal">
      <formula>0</formula>
    </cfRule>
  </conditionalFormatting>
  <conditionalFormatting sqref="N17:Q17">
    <cfRule type="cellIs" dxfId="19" priority="5" stopIfTrue="1" operator="equal">
      <formula>0</formula>
    </cfRule>
  </conditionalFormatting>
  <conditionalFormatting sqref="N26:Q26">
    <cfRule type="cellIs" dxfId="18" priority="4" stopIfTrue="1" operator="equal">
      <formula>0</formula>
    </cfRule>
  </conditionalFormatting>
  <conditionalFormatting sqref="N35:Q35">
    <cfRule type="cellIs" dxfId="17" priority="3" stopIfTrue="1" operator="equal">
      <formula>0</formula>
    </cfRule>
  </conditionalFormatting>
  <conditionalFormatting sqref="F44:I44">
    <cfRule type="cellIs" dxfId="16" priority="2" stopIfTrue="1" operator="equal">
      <formula>0</formula>
    </cfRule>
  </conditionalFormatting>
  <conditionalFormatting sqref="F50:I50">
    <cfRule type="cellIs" dxfId="15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AM58"/>
  <sheetViews>
    <sheetView showGridLines="0" topLeftCell="C28" zoomScale="60" zoomScaleNormal="60" workbookViewId="0">
      <selection activeCell="Q50" sqref="Q50"/>
    </sheetView>
  </sheetViews>
  <sheetFormatPr defaultColWidth="9" defaultRowHeight="15.75" x14ac:dyDescent="0.25"/>
  <cols>
    <col min="1" max="1" width="2.75" style="183" customWidth="1"/>
    <col min="2" max="2" width="18.875" style="183" customWidth="1"/>
    <col min="3" max="3" width="26.625" style="183" customWidth="1"/>
    <col min="4" max="4" width="14.375" style="183" customWidth="1"/>
    <col min="5" max="5" width="3.25" style="183" customWidth="1"/>
    <col min="6" max="9" width="12.375" style="183" customWidth="1"/>
    <col min="10" max="10" width="8.5" style="183" customWidth="1"/>
    <col min="11" max="12" width="7" style="183" customWidth="1"/>
    <col min="13" max="13" width="3.25" style="183" customWidth="1"/>
    <col min="14" max="17" width="12.375" style="183" customWidth="1"/>
    <col min="18" max="19" width="7.75" style="183" customWidth="1"/>
    <col min="20" max="20" width="7" style="183" customWidth="1"/>
    <col min="21" max="21" width="3" style="183" customWidth="1"/>
    <col min="22" max="22" width="12.375" style="183" customWidth="1"/>
    <col min="23" max="23" width="14.875" style="183" customWidth="1"/>
    <col min="24" max="24" width="13.25" style="183" customWidth="1"/>
    <col min="25" max="25" width="12.375" style="183" customWidth="1"/>
    <col min="26" max="26" width="7.875" style="183" customWidth="1"/>
    <col min="27" max="28" width="7" style="183" customWidth="1"/>
    <col min="29" max="256" width="9" style="183"/>
    <col min="257" max="257" width="2.75" style="183" customWidth="1"/>
    <col min="258" max="258" width="18.875" style="183" customWidth="1"/>
    <col min="259" max="259" width="26.625" style="183" customWidth="1"/>
    <col min="260" max="260" width="14.375" style="183" customWidth="1"/>
    <col min="261" max="261" width="3.25" style="183" customWidth="1"/>
    <col min="262" max="265" width="12.375" style="183" customWidth="1"/>
    <col min="266" max="266" width="8.5" style="183" customWidth="1"/>
    <col min="267" max="268" width="7" style="183" customWidth="1"/>
    <col min="269" max="269" width="3.25" style="183" customWidth="1"/>
    <col min="270" max="273" width="12.375" style="183" customWidth="1"/>
    <col min="274" max="275" width="7.75" style="183" customWidth="1"/>
    <col min="276" max="276" width="7" style="183" customWidth="1"/>
    <col min="277" max="277" width="3" style="183" customWidth="1"/>
    <col min="278" max="278" width="12.375" style="183" customWidth="1"/>
    <col min="279" max="279" width="14.875" style="183" customWidth="1"/>
    <col min="280" max="280" width="13.25" style="183" customWidth="1"/>
    <col min="281" max="281" width="12.375" style="183" customWidth="1"/>
    <col min="282" max="282" width="7.875" style="183" customWidth="1"/>
    <col min="283" max="284" width="7" style="183" customWidth="1"/>
    <col min="285" max="512" width="9" style="183"/>
    <col min="513" max="513" width="2.75" style="183" customWidth="1"/>
    <col min="514" max="514" width="18.875" style="183" customWidth="1"/>
    <col min="515" max="515" width="26.625" style="183" customWidth="1"/>
    <col min="516" max="516" width="14.375" style="183" customWidth="1"/>
    <col min="517" max="517" width="3.25" style="183" customWidth="1"/>
    <col min="518" max="521" width="12.375" style="183" customWidth="1"/>
    <col min="522" max="522" width="8.5" style="183" customWidth="1"/>
    <col min="523" max="524" width="7" style="183" customWidth="1"/>
    <col min="525" max="525" width="3.25" style="183" customWidth="1"/>
    <col min="526" max="529" width="12.375" style="183" customWidth="1"/>
    <col min="530" max="531" width="7.75" style="183" customWidth="1"/>
    <col min="532" max="532" width="7" style="183" customWidth="1"/>
    <col min="533" max="533" width="3" style="183" customWidth="1"/>
    <col min="534" max="534" width="12.375" style="183" customWidth="1"/>
    <col min="535" max="535" width="14.875" style="183" customWidth="1"/>
    <col min="536" max="536" width="13.25" style="183" customWidth="1"/>
    <col min="537" max="537" width="12.375" style="183" customWidth="1"/>
    <col min="538" max="538" width="7.875" style="183" customWidth="1"/>
    <col min="539" max="540" width="7" style="183" customWidth="1"/>
    <col min="541" max="768" width="9" style="183"/>
    <col min="769" max="769" width="2.75" style="183" customWidth="1"/>
    <col min="770" max="770" width="18.875" style="183" customWidth="1"/>
    <col min="771" max="771" width="26.625" style="183" customWidth="1"/>
    <col min="772" max="772" width="14.375" style="183" customWidth="1"/>
    <col min="773" max="773" width="3.25" style="183" customWidth="1"/>
    <col min="774" max="777" width="12.375" style="183" customWidth="1"/>
    <col min="778" max="778" width="8.5" style="183" customWidth="1"/>
    <col min="779" max="780" width="7" style="183" customWidth="1"/>
    <col min="781" max="781" width="3.25" style="183" customWidth="1"/>
    <col min="782" max="785" width="12.375" style="183" customWidth="1"/>
    <col min="786" max="787" width="7.75" style="183" customWidth="1"/>
    <col min="788" max="788" width="7" style="183" customWidth="1"/>
    <col min="789" max="789" width="3" style="183" customWidth="1"/>
    <col min="790" max="790" width="12.375" style="183" customWidth="1"/>
    <col min="791" max="791" width="14.875" style="183" customWidth="1"/>
    <col min="792" max="792" width="13.25" style="183" customWidth="1"/>
    <col min="793" max="793" width="12.375" style="183" customWidth="1"/>
    <col min="794" max="794" width="7.875" style="183" customWidth="1"/>
    <col min="795" max="796" width="7" style="183" customWidth="1"/>
    <col min="797" max="1024" width="9" style="183"/>
    <col min="1025" max="1025" width="2.75" style="183" customWidth="1"/>
    <col min="1026" max="1026" width="18.875" style="183" customWidth="1"/>
    <col min="1027" max="1027" width="26.625" style="183" customWidth="1"/>
    <col min="1028" max="1028" width="14.375" style="183" customWidth="1"/>
    <col min="1029" max="1029" width="3.25" style="183" customWidth="1"/>
    <col min="1030" max="1033" width="12.375" style="183" customWidth="1"/>
    <col min="1034" max="1034" width="8.5" style="183" customWidth="1"/>
    <col min="1035" max="1036" width="7" style="183" customWidth="1"/>
    <col min="1037" max="1037" width="3.25" style="183" customWidth="1"/>
    <col min="1038" max="1041" width="12.375" style="183" customWidth="1"/>
    <col min="1042" max="1043" width="7.75" style="183" customWidth="1"/>
    <col min="1044" max="1044" width="7" style="183" customWidth="1"/>
    <col min="1045" max="1045" width="3" style="183" customWidth="1"/>
    <col min="1046" max="1046" width="12.375" style="183" customWidth="1"/>
    <col min="1047" max="1047" width="14.875" style="183" customWidth="1"/>
    <col min="1048" max="1048" width="13.25" style="183" customWidth="1"/>
    <col min="1049" max="1049" width="12.375" style="183" customWidth="1"/>
    <col min="1050" max="1050" width="7.875" style="183" customWidth="1"/>
    <col min="1051" max="1052" width="7" style="183" customWidth="1"/>
    <col min="1053" max="1280" width="9" style="183"/>
    <col min="1281" max="1281" width="2.75" style="183" customWidth="1"/>
    <col min="1282" max="1282" width="18.875" style="183" customWidth="1"/>
    <col min="1283" max="1283" width="26.625" style="183" customWidth="1"/>
    <col min="1284" max="1284" width="14.375" style="183" customWidth="1"/>
    <col min="1285" max="1285" width="3.25" style="183" customWidth="1"/>
    <col min="1286" max="1289" width="12.375" style="183" customWidth="1"/>
    <col min="1290" max="1290" width="8.5" style="183" customWidth="1"/>
    <col min="1291" max="1292" width="7" style="183" customWidth="1"/>
    <col min="1293" max="1293" width="3.25" style="183" customWidth="1"/>
    <col min="1294" max="1297" width="12.375" style="183" customWidth="1"/>
    <col min="1298" max="1299" width="7.75" style="183" customWidth="1"/>
    <col min="1300" max="1300" width="7" style="183" customWidth="1"/>
    <col min="1301" max="1301" width="3" style="183" customWidth="1"/>
    <col min="1302" max="1302" width="12.375" style="183" customWidth="1"/>
    <col min="1303" max="1303" width="14.875" style="183" customWidth="1"/>
    <col min="1304" max="1304" width="13.25" style="183" customWidth="1"/>
    <col min="1305" max="1305" width="12.375" style="183" customWidth="1"/>
    <col min="1306" max="1306" width="7.875" style="183" customWidth="1"/>
    <col min="1307" max="1308" width="7" style="183" customWidth="1"/>
    <col min="1309" max="1536" width="9" style="183"/>
    <col min="1537" max="1537" width="2.75" style="183" customWidth="1"/>
    <col min="1538" max="1538" width="18.875" style="183" customWidth="1"/>
    <col min="1539" max="1539" width="26.625" style="183" customWidth="1"/>
    <col min="1540" max="1540" width="14.375" style="183" customWidth="1"/>
    <col min="1541" max="1541" width="3.25" style="183" customWidth="1"/>
    <col min="1542" max="1545" width="12.375" style="183" customWidth="1"/>
    <col min="1546" max="1546" width="8.5" style="183" customWidth="1"/>
    <col min="1547" max="1548" width="7" style="183" customWidth="1"/>
    <col min="1549" max="1549" width="3.25" style="183" customWidth="1"/>
    <col min="1550" max="1553" width="12.375" style="183" customWidth="1"/>
    <col min="1554" max="1555" width="7.75" style="183" customWidth="1"/>
    <col min="1556" max="1556" width="7" style="183" customWidth="1"/>
    <col min="1557" max="1557" width="3" style="183" customWidth="1"/>
    <col min="1558" max="1558" width="12.375" style="183" customWidth="1"/>
    <col min="1559" max="1559" width="14.875" style="183" customWidth="1"/>
    <col min="1560" max="1560" width="13.25" style="183" customWidth="1"/>
    <col min="1561" max="1561" width="12.375" style="183" customWidth="1"/>
    <col min="1562" max="1562" width="7.875" style="183" customWidth="1"/>
    <col min="1563" max="1564" width="7" style="183" customWidth="1"/>
    <col min="1565" max="1792" width="9" style="183"/>
    <col min="1793" max="1793" width="2.75" style="183" customWidth="1"/>
    <col min="1794" max="1794" width="18.875" style="183" customWidth="1"/>
    <col min="1795" max="1795" width="26.625" style="183" customWidth="1"/>
    <col min="1796" max="1796" width="14.375" style="183" customWidth="1"/>
    <col min="1797" max="1797" width="3.25" style="183" customWidth="1"/>
    <col min="1798" max="1801" width="12.375" style="183" customWidth="1"/>
    <col min="1802" max="1802" width="8.5" style="183" customWidth="1"/>
    <col min="1803" max="1804" width="7" style="183" customWidth="1"/>
    <col min="1805" max="1805" width="3.25" style="183" customWidth="1"/>
    <col min="1806" max="1809" width="12.375" style="183" customWidth="1"/>
    <col min="1810" max="1811" width="7.75" style="183" customWidth="1"/>
    <col min="1812" max="1812" width="7" style="183" customWidth="1"/>
    <col min="1813" max="1813" width="3" style="183" customWidth="1"/>
    <col min="1814" max="1814" width="12.375" style="183" customWidth="1"/>
    <col min="1815" max="1815" width="14.875" style="183" customWidth="1"/>
    <col min="1816" max="1816" width="13.25" style="183" customWidth="1"/>
    <col min="1817" max="1817" width="12.375" style="183" customWidth="1"/>
    <col min="1818" max="1818" width="7.875" style="183" customWidth="1"/>
    <col min="1819" max="1820" width="7" style="183" customWidth="1"/>
    <col min="1821" max="2048" width="9" style="183"/>
    <col min="2049" max="2049" width="2.75" style="183" customWidth="1"/>
    <col min="2050" max="2050" width="18.875" style="183" customWidth="1"/>
    <col min="2051" max="2051" width="26.625" style="183" customWidth="1"/>
    <col min="2052" max="2052" width="14.375" style="183" customWidth="1"/>
    <col min="2053" max="2053" width="3.25" style="183" customWidth="1"/>
    <col min="2054" max="2057" width="12.375" style="183" customWidth="1"/>
    <col min="2058" max="2058" width="8.5" style="183" customWidth="1"/>
    <col min="2059" max="2060" width="7" style="183" customWidth="1"/>
    <col min="2061" max="2061" width="3.25" style="183" customWidth="1"/>
    <col min="2062" max="2065" width="12.375" style="183" customWidth="1"/>
    <col min="2066" max="2067" width="7.75" style="183" customWidth="1"/>
    <col min="2068" max="2068" width="7" style="183" customWidth="1"/>
    <col min="2069" max="2069" width="3" style="183" customWidth="1"/>
    <col min="2070" max="2070" width="12.375" style="183" customWidth="1"/>
    <col min="2071" max="2071" width="14.875" style="183" customWidth="1"/>
    <col min="2072" max="2072" width="13.25" style="183" customWidth="1"/>
    <col min="2073" max="2073" width="12.375" style="183" customWidth="1"/>
    <col min="2074" max="2074" width="7.875" style="183" customWidth="1"/>
    <col min="2075" max="2076" width="7" style="183" customWidth="1"/>
    <col min="2077" max="2304" width="9" style="183"/>
    <col min="2305" max="2305" width="2.75" style="183" customWidth="1"/>
    <col min="2306" max="2306" width="18.875" style="183" customWidth="1"/>
    <col min="2307" max="2307" width="26.625" style="183" customWidth="1"/>
    <col min="2308" max="2308" width="14.375" style="183" customWidth="1"/>
    <col min="2309" max="2309" width="3.25" style="183" customWidth="1"/>
    <col min="2310" max="2313" width="12.375" style="183" customWidth="1"/>
    <col min="2314" max="2314" width="8.5" style="183" customWidth="1"/>
    <col min="2315" max="2316" width="7" style="183" customWidth="1"/>
    <col min="2317" max="2317" width="3.25" style="183" customWidth="1"/>
    <col min="2318" max="2321" width="12.375" style="183" customWidth="1"/>
    <col min="2322" max="2323" width="7.75" style="183" customWidth="1"/>
    <col min="2324" max="2324" width="7" style="183" customWidth="1"/>
    <col min="2325" max="2325" width="3" style="183" customWidth="1"/>
    <col min="2326" max="2326" width="12.375" style="183" customWidth="1"/>
    <col min="2327" max="2327" width="14.875" style="183" customWidth="1"/>
    <col min="2328" max="2328" width="13.25" style="183" customWidth="1"/>
    <col min="2329" max="2329" width="12.375" style="183" customWidth="1"/>
    <col min="2330" max="2330" width="7.875" style="183" customWidth="1"/>
    <col min="2331" max="2332" width="7" style="183" customWidth="1"/>
    <col min="2333" max="2560" width="9" style="183"/>
    <col min="2561" max="2561" width="2.75" style="183" customWidth="1"/>
    <col min="2562" max="2562" width="18.875" style="183" customWidth="1"/>
    <col min="2563" max="2563" width="26.625" style="183" customWidth="1"/>
    <col min="2564" max="2564" width="14.375" style="183" customWidth="1"/>
    <col min="2565" max="2565" width="3.25" style="183" customWidth="1"/>
    <col min="2566" max="2569" width="12.375" style="183" customWidth="1"/>
    <col min="2570" max="2570" width="8.5" style="183" customWidth="1"/>
    <col min="2571" max="2572" width="7" style="183" customWidth="1"/>
    <col min="2573" max="2573" width="3.25" style="183" customWidth="1"/>
    <col min="2574" max="2577" width="12.375" style="183" customWidth="1"/>
    <col min="2578" max="2579" width="7.75" style="183" customWidth="1"/>
    <col min="2580" max="2580" width="7" style="183" customWidth="1"/>
    <col min="2581" max="2581" width="3" style="183" customWidth="1"/>
    <col min="2582" max="2582" width="12.375" style="183" customWidth="1"/>
    <col min="2583" max="2583" width="14.875" style="183" customWidth="1"/>
    <col min="2584" max="2584" width="13.25" style="183" customWidth="1"/>
    <col min="2585" max="2585" width="12.375" style="183" customWidth="1"/>
    <col min="2586" max="2586" width="7.875" style="183" customWidth="1"/>
    <col min="2587" max="2588" width="7" style="183" customWidth="1"/>
    <col min="2589" max="2816" width="9" style="183"/>
    <col min="2817" max="2817" width="2.75" style="183" customWidth="1"/>
    <col min="2818" max="2818" width="18.875" style="183" customWidth="1"/>
    <col min="2819" max="2819" width="26.625" style="183" customWidth="1"/>
    <col min="2820" max="2820" width="14.375" style="183" customWidth="1"/>
    <col min="2821" max="2821" width="3.25" style="183" customWidth="1"/>
    <col min="2822" max="2825" width="12.375" style="183" customWidth="1"/>
    <col min="2826" max="2826" width="8.5" style="183" customWidth="1"/>
    <col min="2827" max="2828" width="7" style="183" customWidth="1"/>
    <col min="2829" max="2829" width="3.25" style="183" customWidth="1"/>
    <col min="2830" max="2833" width="12.375" style="183" customWidth="1"/>
    <col min="2834" max="2835" width="7.75" style="183" customWidth="1"/>
    <col min="2836" max="2836" width="7" style="183" customWidth="1"/>
    <col min="2837" max="2837" width="3" style="183" customWidth="1"/>
    <col min="2838" max="2838" width="12.375" style="183" customWidth="1"/>
    <col min="2839" max="2839" width="14.875" style="183" customWidth="1"/>
    <col min="2840" max="2840" width="13.25" style="183" customWidth="1"/>
    <col min="2841" max="2841" width="12.375" style="183" customWidth="1"/>
    <col min="2842" max="2842" width="7.875" style="183" customWidth="1"/>
    <col min="2843" max="2844" width="7" style="183" customWidth="1"/>
    <col min="2845" max="3072" width="9" style="183"/>
    <col min="3073" max="3073" width="2.75" style="183" customWidth="1"/>
    <col min="3074" max="3074" width="18.875" style="183" customWidth="1"/>
    <col min="3075" max="3075" width="26.625" style="183" customWidth="1"/>
    <col min="3076" max="3076" width="14.375" style="183" customWidth="1"/>
    <col min="3077" max="3077" width="3.25" style="183" customWidth="1"/>
    <col min="3078" max="3081" width="12.375" style="183" customWidth="1"/>
    <col min="3082" max="3082" width="8.5" style="183" customWidth="1"/>
    <col min="3083" max="3084" width="7" style="183" customWidth="1"/>
    <col min="3085" max="3085" width="3.25" style="183" customWidth="1"/>
    <col min="3086" max="3089" width="12.375" style="183" customWidth="1"/>
    <col min="3090" max="3091" width="7.75" style="183" customWidth="1"/>
    <col min="3092" max="3092" width="7" style="183" customWidth="1"/>
    <col min="3093" max="3093" width="3" style="183" customWidth="1"/>
    <col min="3094" max="3094" width="12.375" style="183" customWidth="1"/>
    <col min="3095" max="3095" width="14.875" style="183" customWidth="1"/>
    <col min="3096" max="3096" width="13.25" style="183" customWidth="1"/>
    <col min="3097" max="3097" width="12.375" style="183" customWidth="1"/>
    <col min="3098" max="3098" width="7.875" style="183" customWidth="1"/>
    <col min="3099" max="3100" width="7" style="183" customWidth="1"/>
    <col min="3101" max="3328" width="9" style="183"/>
    <col min="3329" max="3329" width="2.75" style="183" customWidth="1"/>
    <col min="3330" max="3330" width="18.875" style="183" customWidth="1"/>
    <col min="3331" max="3331" width="26.625" style="183" customWidth="1"/>
    <col min="3332" max="3332" width="14.375" style="183" customWidth="1"/>
    <col min="3333" max="3333" width="3.25" style="183" customWidth="1"/>
    <col min="3334" max="3337" width="12.375" style="183" customWidth="1"/>
    <col min="3338" max="3338" width="8.5" style="183" customWidth="1"/>
    <col min="3339" max="3340" width="7" style="183" customWidth="1"/>
    <col min="3341" max="3341" width="3.25" style="183" customWidth="1"/>
    <col min="3342" max="3345" width="12.375" style="183" customWidth="1"/>
    <col min="3346" max="3347" width="7.75" style="183" customWidth="1"/>
    <col min="3348" max="3348" width="7" style="183" customWidth="1"/>
    <col min="3349" max="3349" width="3" style="183" customWidth="1"/>
    <col min="3350" max="3350" width="12.375" style="183" customWidth="1"/>
    <col min="3351" max="3351" width="14.875" style="183" customWidth="1"/>
    <col min="3352" max="3352" width="13.25" style="183" customWidth="1"/>
    <col min="3353" max="3353" width="12.375" style="183" customWidth="1"/>
    <col min="3354" max="3354" width="7.875" style="183" customWidth="1"/>
    <col min="3355" max="3356" width="7" style="183" customWidth="1"/>
    <col min="3357" max="3584" width="9" style="183"/>
    <col min="3585" max="3585" width="2.75" style="183" customWidth="1"/>
    <col min="3586" max="3586" width="18.875" style="183" customWidth="1"/>
    <col min="3587" max="3587" width="26.625" style="183" customWidth="1"/>
    <col min="3588" max="3588" width="14.375" style="183" customWidth="1"/>
    <col min="3589" max="3589" width="3.25" style="183" customWidth="1"/>
    <col min="3590" max="3593" width="12.375" style="183" customWidth="1"/>
    <col min="3594" max="3594" width="8.5" style="183" customWidth="1"/>
    <col min="3595" max="3596" width="7" style="183" customWidth="1"/>
    <col min="3597" max="3597" width="3.25" style="183" customWidth="1"/>
    <col min="3598" max="3601" width="12.375" style="183" customWidth="1"/>
    <col min="3602" max="3603" width="7.75" style="183" customWidth="1"/>
    <col min="3604" max="3604" width="7" style="183" customWidth="1"/>
    <col min="3605" max="3605" width="3" style="183" customWidth="1"/>
    <col min="3606" max="3606" width="12.375" style="183" customWidth="1"/>
    <col min="3607" max="3607" width="14.875" style="183" customWidth="1"/>
    <col min="3608" max="3608" width="13.25" style="183" customWidth="1"/>
    <col min="3609" max="3609" width="12.375" style="183" customWidth="1"/>
    <col min="3610" max="3610" width="7.875" style="183" customWidth="1"/>
    <col min="3611" max="3612" width="7" style="183" customWidth="1"/>
    <col min="3613" max="3840" width="9" style="183"/>
    <col min="3841" max="3841" width="2.75" style="183" customWidth="1"/>
    <col min="3842" max="3842" width="18.875" style="183" customWidth="1"/>
    <col min="3843" max="3843" width="26.625" style="183" customWidth="1"/>
    <col min="3844" max="3844" width="14.375" style="183" customWidth="1"/>
    <col min="3845" max="3845" width="3.25" style="183" customWidth="1"/>
    <col min="3846" max="3849" width="12.375" style="183" customWidth="1"/>
    <col min="3850" max="3850" width="8.5" style="183" customWidth="1"/>
    <col min="3851" max="3852" width="7" style="183" customWidth="1"/>
    <col min="3853" max="3853" width="3.25" style="183" customWidth="1"/>
    <col min="3854" max="3857" width="12.375" style="183" customWidth="1"/>
    <col min="3858" max="3859" width="7.75" style="183" customWidth="1"/>
    <col min="3860" max="3860" width="7" style="183" customWidth="1"/>
    <col min="3861" max="3861" width="3" style="183" customWidth="1"/>
    <col min="3862" max="3862" width="12.375" style="183" customWidth="1"/>
    <col min="3863" max="3863" width="14.875" style="183" customWidth="1"/>
    <col min="3864" max="3864" width="13.25" style="183" customWidth="1"/>
    <col min="3865" max="3865" width="12.375" style="183" customWidth="1"/>
    <col min="3866" max="3866" width="7.875" style="183" customWidth="1"/>
    <col min="3867" max="3868" width="7" style="183" customWidth="1"/>
    <col min="3869" max="4096" width="9" style="183"/>
    <col min="4097" max="4097" width="2.75" style="183" customWidth="1"/>
    <col min="4098" max="4098" width="18.875" style="183" customWidth="1"/>
    <col min="4099" max="4099" width="26.625" style="183" customWidth="1"/>
    <col min="4100" max="4100" width="14.375" style="183" customWidth="1"/>
    <col min="4101" max="4101" width="3.25" style="183" customWidth="1"/>
    <col min="4102" max="4105" width="12.375" style="183" customWidth="1"/>
    <col min="4106" max="4106" width="8.5" style="183" customWidth="1"/>
    <col min="4107" max="4108" width="7" style="183" customWidth="1"/>
    <col min="4109" max="4109" width="3.25" style="183" customWidth="1"/>
    <col min="4110" max="4113" width="12.375" style="183" customWidth="1"/>
    <col min="4114" max="4115" width="7.75" style="183" customWidth="1"/>
    <col min="4116" max="4116" width="7" style="183" customWidth="1"/>
    <col min="4117" max="4117" width="3" style="183" customWidth="1"/>
    <col min="4118" max="4118" width="12.375" style="183" customWidth="1"/>
    <col min="4119" max="4119" width="14.875" style="183" customWidth="1"/>
    <col min="4120" max="4120" width="13.25" style="183" customWidth="1"/>
    <col min="4121" max="4121" width="12.375" style="183" customWidth="1"/>
    <col min="4122" max="4122" width="7.875" style="183" customWidth="1"/>
    <col min="4123" max="4124" width="7" style="183" customWidth="1"/>
    <col min="4125" max="4352" width="9" style="183"/>
    <col min="4353" max="4353" width="2.75" style="183" customWidth="1"/>
    <col min="4354" max="4354" width="18.875" style="183" customWidth="1"/>
    <col min="4355" max="4355" width="26.625" style="183" customWidth="1"/>
    <col min="4356" max="4356" width="14.375" style="183" customWidth="1"/>
    <col min="4357" max="4357" width="3.25" style="183" customWidth="1"/>
    <col min="4358" max="4361" width="12.375" style="183" customWidth="1"/>
    <col min="4362" max="4362" width="8.5" style="183" customWidth="1"/>
    <col min="4363" max="4364" width="7" style="183" customWidth="1"/>
    <col min="4365" max="4365" width="3.25" style="183" customWidth="1"/>
    <col min="4366" max="4369" width="12.375" style="183" customWidth="1"/>
    <col min="4370" max="4371" width="7.75" style="183" customWidth="1"/>
    <col min="4372" max="4372" width="7" style="183" customWidth="1"/>
    <col min="4373" max="4373" width="3" style="183" customWidth="1"/>
    <col min="4374" max="4374" width="12.375" style="183" customWidth="1"/>
    <col min="4375" max="4375" width="14.875" style="183" customWidth="1"/>
    <col min="4376" max="4376" width="13.25" style="183" customWidth="1"/>
    <col min="4377" max="4377" width="12.375" style="183" customWidth="1"/>
    <col min="4378" max="4378" width="7.875" style="183" customWidth="1"/>
    <col min="4379" max="4380" width="7" style="183" customWidth="1"/>
    <col min="4381" max="4608" width="9" style="183"/>
    <col min="4609" max="4609" width="2.75" style="183" customWidth="1"/>
    <col min="4610" max="4610" width="18.875" style="183" customWidth="1"/>
    <col min="4611" max="4611" width="26.625" style="183" customWidth="1"/>
    <col min="4612" max="4612" width="14.375" style="183" customWidth="1"/>
    <col min="4613" max="4613" width="3.25" style="183" customWidth="1"/>
    <col min="4614" max="4617" width="12.375" style="183" customWidth="1"/>
    <col min="4618" max="4618" width="8.5" style="183" customWidth="1"/>
    <col min="4619" max="4620" width="7" style="183" customWidth="1"/>
    <col min="4621" max="4621" width="3.25" style="183" customWidth="1"/>
    <col min="4622" max="4625" width="12.375" style="183" customWidth="1"/>
    <col min="4626" max="4627" width="7.75" style="183" customWidth="1"/>
    <col min="4628" max="4628" width="7" style="183" customWidth="1"/>
    <col min="4629" max="4629" width="3" style="183" customWidth="1"/>
    <col min="4630" max="4630" width="12.375" style="183" customWidth="1"/>
    <col min="4631" max="4631" width="14.875" style="183" customWidth="1"/>
    <col min="4632" max="4632" width="13.25" style="183" customWidth="1"/>
    <col min="4633" max="4633" width="12.375" style="183" customWidth="1"/>
    <col min="4634" max="4634" width="7.875" style="183" customWidth="1"/>
    <col min="4635" max="4636" width="7" style="183" customWidth="1"/>
    <col min="4637" max="4864" width="9" style="183"/>
    <col min="4865" max="4865" width="2.75" style="183" customWidth="1"/>
    <col min="4866" max="4866" width="18.875" style="183" customWidth="1"/>
    <col min="4867" max="4867" width="26.625" style="183" customWidth="1"/>
    <col min="4868" max="4868" width="14.375" style="183" customWidth="1"/>
    <col min="4869" max="4869" width="3.25" style="183" customWidth="1"/>
    <col min="4870" max="4873" width="12.375" style="183" customWidth="1"/>
    <col min="4874" max="4874" width="8.5" style="183" customWidth="1"/>
    <col min="4875" max="4876" width="7" style="183" customWidth="1"/>
    <col min="4877" max="4877" width="3.25" style="183" customWidth="1"/>
    <col min="4878" max="4881" width="12.375" style="183" customWidth="1"/>
    <col min="4882" max="4883" width="7.75" style="183" customWidth="1"/>
    <col min="4884" max="4884" width="7" style="183" customWidth="1"/>
    <col min="4885" max="4885" width="3" style="183" customWidth="1"/>
    <col min="4886" max="4886" width="12.375" style="183" customWidth="1"/>
    <col min="4887" max="4887" width="14.875" style="183" customWidth="1"/>
    <col min="4888" max="4888" width="13.25" style="183" customWidth="1"/>
    <col min="4889" max="4889" width="12.375" style="183" customWidth="1"/>
    <col min="4890" max="4890" width="7.875" style="183" customWidth="1"/>
    <col min="4891" max="4892" width="7" style="183" customWidth="1"/>
    <col min="4893" max="5120" width="9" style="183"/>
    <col min="5121" max="5121" width="2.75" style="183" customWidth="1"/>
    <col min="5122" max="5122" width="18.875" style="183" customWidth="1"/>
    <col min="5123" max="5123" width="26.625" style="183" customWidth="1"/>
    <col min="5124" max="5124" width="14.375" style="183" customWidth="1"/>
    <col min="5125" max="5125" width="3.25" style="183" customWidth="1"/>
    <col min="5126" max="5129" width="12.375" style="183" customWidth="1"/>
    <col min="5130" max="5130" width="8.5" style="183" customWidth="1"/>
    <col min="5131" max="5132" width="7" style="183" customWidth="1"/>
    <col min="5133" max="5133" width="3.25" style="183" customWidth="1"/>
    <col min="5134" max="5137" width="12.375" style="183" customWidth="1"/>
    <col min="5138" max="5139" width="7.75" style="183" customWidth="1"/>
    <col min="5140" max="5140" width="7" style="183" customWidth="1"/>
    <col min="5141" max="5141" width="3" style="183" customWidth="1"/>
    <col min="5142" max="5142" width="12.375" style="183" customWidth="1"/>
    <col min="5143" max="5143" width="14.875" style="183" customWidth="1"/>
    <col min="5144" max="5144" width="13.25" style="183" customWidth="1"/>
    <col min="5145" max="5145" width="12.375" style="183" customWidth="1"/>
    <col min="5146" max="5146" width="7.875" style="183" customWidth="1"/>
    <col min="5147" max="5148" width="7" style="183" customWidth="1"/>
    <col min="5149" max="5376" width="9" style="183"/>
    <col min="5377" max="5377" width="2.75" style="183" customWidth="1"/>
    <col min="5378" max="5378" width="18.875" style="183" customWidth="1"/>
    <col min="5379" max="5379" width="26.625" style="183" customWidth="1"/>
    <col min="5380" max="5380" width="14.375" style="183" customWidth="1"/>
    <col min="5381" max="5381" width="3.25" style="183" customWidth="1"/>
    <col min="5382" max="5385" width="12.375" style="183" customWidth="1"/>
    <col min="5386" max="5386" width="8.5" style="183" customWidth="1"/>
    <col min="5387" max="5388" width="7" style="183" customWidth="1"/>
    <col min="5389" max="5389" width="3.25" style="183" customWidth="1"/>
    <col min="5390" max="5393" width="12.375" style="183" customWidth="1"/>
    <col min="5394" max="5395" width="7.75" style="183" customWidth="1"/>
    <col min="5396" max="5396" width="7" style="183" customWidth="1"/>
    <col min="5397" max="5397" width="3" style="183" customWidth="1"/>
    <col min="5398" max="5398" width="12.375" style="183" customWidth="1"/>
    <col min="5399" max="5399" width="14.875" style="183" customWidth="1"/>
    <col min="5400" max="5400" width="13.25" style="183" customWidth="1"/>
    <col min="5401" max="5401" width="12.375" style="183" customWidth="1"/>
    <col min="5402" max="5402" width="7.875" style="183" customWidth="1"/>
    <col min="5403" max="5404" width="7" style="183" customWidth="1"/>
    <col min="5405" max="5632" width="9" style="183"/>
    <col min="5633" max="5633" width="2.75" style="183" customWidth="1"/>
    <col min="5634" max="5634" width="18.875" style="183" customWidth="1"/>
    <col min="5635" max="5635" width="26.625" style="183" customWidth="1"/>
    <col min="5636" max="5636" width="14.375" style="183" customWidth="1"/>
    <col min="5637" max="5637" width="3.25" style="183" customWidth="1"/>
    <col min="5638" max="5641" width="12.375" style="183" customWidth="1"/>
    <col min="5642" max="5642" width="8.5" style="183" customWidth="1"/>
    <col min="5643" max="5644" width="7" style="183" customWidth="1"/>
    <col min="5645" max="5645" width="3.25" style="183" customWidth="1"/>
    <col min="5646" max="5649" width="12.375" style="183" customWidth="1"/>
    <col min="5650" max="5651" width="7.75" style="183" customWidth="1"/>
    <col min="5652" max="5652" width="7" style="183" customWidth="1"/>
    <col min="5653" max="5653" width="3" style="183" customWidth="1"/>
    <col min="5654" max="5654" width="12.375" style="183" customWidth="1"/>
    <col min="5655" max="5655" width="14.875" style="183" customWidth="1"/>
    <col min="5656" max="5656" width="13.25" style="183" customWidth="1"/>
    <col min="5657" max="5657" width="12.375" style="183" customWidth="1"/>
    <col min="5658" max="5658" width="7.875" style="183" customWidth="1"/>
    <col min="5659" max="5660" width="7" style="183" customWidth="1"/>
    <col min="5661" max="5888" width="9" style="183"/>
    <col min="5889" max="5889" width="2.75" style="183" customWidth="1"/>
    <col min="5890" max="5890" width="18.875" style="183" customWidth="1"/>
    <col min="5891" max="5891" width="26.625" style="183" customWidth="1"/>
    <col min="5892" max="5892" width="14.375" style="183" customWidth="1"/>
    <col min="5893" max="5893" width="3.25" style="183" customWidth="1"/>
    <col min="5894" max="5897" width="12.375" style="183" customWidth="1"/>
    <col min="5898" max="5898" width="8.5" style="183" customWidth="1"/>
    <col min="5899" max="5900" width="7" style="183" customWidth="1"/>
    <col min="5901" max="5901" width="3.25" style="183" customWidth="1"/>
    <col min="5902" max="5905" width="12.375" style="183" customWidth="1"/>
    <col min="5906" max="5907" width="7.75" style="183" customWidth="1"/>
    <col min="5908" max="5908" width="7" style="183" customWidth="1"/>
    <col min="5909" max="5909" width="3" style="183" customWidth="1"/>
    <col min="5910" max="5910" width="12.375" style="183" customWidth="1"/>
    <col min="5911" max="5911" width="14.875" style="183" customWidth="1"/>
    <col min="5912" max="5912" width="13.25" style="183" customWidth="1"/>
    <col min="5913" max="5913" width="12.375" style="183" customWidth="1"/>
    <col min="5914" max="5914" width="7.875" style="183" customWidth="1"/>
    <col min="5915" max="5916" width="7" style="183" customWidth="1"/>
    <col min="5917" max="6144" width="9" style="183"/>
    <col min="6145" max="6145" width="2.75" style="183" customWidth="1"/>
    <col min="6146" max="6146" width="18.875" style="183" customWidth="1"/>
    <col min="6147" max="6147" width="26.625" style="183" customWidth="1"/>
    <col min="6148" max="6148" width="14.375" style="183" customWidth="1"/>
    <col min="6149" max="6149" width="3.25" style="183" customWidth="1"/>
    <col min="6150" max="6153" width="12.375" style="183" customWidth="1"/>
    <col min="6154" max="6154" width="8.5" style="183" customWidth="1"/>
    <col min="6155" max="6156" width="7" style="183" customWidth="1"/>
    <col min="6157" max="6157" width="3.25" style="183" customWidth="1"/>
    <col min="6158" max="6161" width="12.375" style="183" customWidth="1"/>
    <col min="6162" max="6163" width="7.75" style="183" customWidth="1"/>
    <col min="6164" max="6164" width="7" style="183" customWidth="1"/>
    <col min="6165" max="6165" width="3" style="183" customWidth="1"/>
    <col min="6166" max="6166" width="12.375" style="183" customWidth="1"/>
    <col min="6167" max="6167" width="14.875" style="183" customWidth="1"/>
    <col min="6168" max="6168" width="13.25" style="183" customWidth="1"/>
    <col min="6169" max="6169" width="12.375" style="183" customWidth="1"/>
    <col min="6170" max="6170" width="7.875" style="183" customWidth="1"/>
    <col min="6171" max="6172" width="7" style="183" customWidth="1"/>
    <col min="6173" max="6400" width="9" style="183"/>
    <col min="6401" max="6401" width="2.75" style="183" customWidth="1"/>
    <col min="6402" max="6402" width="18.875" style="183" customWidth="1"/>
    <col min="6403" max="6403" width="26.625" style="183" customWidth="1"/>
    <col min="6404" max="6404" width="14.375" style="183" customWidth="1"/>
    <col min="6405" max="6405" width="3.25" style="183" customWidth="1"/>
    <col min="6406" max="6409" width="12.375" style="183" customWidth="1"/>
    <col min="6410" max="6410" width="8.5" style="183" customWidth="1"/>
    <col min="6411" max="6412" width="7" style="183" customWidth="1"/>
    <col min="6413" max="6413" width="3.25" style="183" customWidth="1"/>
    <col min="6414" max="6417" width="12.375" style="183" customWidth="1"/>
    <col min="6418" max="6419" width="7.75" style="183" customWidth="1"/>
    <col min="6420" max="6420" width="7" style="183" customWidth="1"/>
    <col min="6421" max="6421" width="3" style="183" customWidth="1"/>
    <col min="6422" max="6422" width="12.375" style="183" customWidth="1"/>
    <col min="6423" max="6423" width="14.875" style="183" customWidth="1"/>
    <col min="6424" max="6424" width="13.25" style="183" customWidth="1"/>
    <col min="6425" max="6425" width="12.375" style="183" customWidth="1"/>
    <col min="6426" max="6426" width="7.875" style="183" customWidth="1"/>
    <col min="6427" max="6428" width="7" style="183" customWidth="1"/>
    <col min="6429" max="6656" width="9" style="183"/>
    <col min="6657" max="6657" width="2.75" style="183" customWidth="1"/>
    <col min="6658" max="6658" width="18.875" style="183" customWidth="1"/>
    <col min="6659" max="6659" width="26.625" style="183" customWidth="1"/>
    <col min="6660" max="6660" width="14.375" style="183" customWidth="1"/>
    <col min="6661" max="6661" width="3.25" style="183" customWidth="1"/>
    <col min="6662" max="6665" width="12.375" style="183" customWidth="1"/>
    <col min="6666" max="6666" width="8.5" style="183" customWidth="1"/>
    <col min="6667" max="6668" width="7" style="183" customWidth="1"/>
    <col min="6669" max="6669" width="3.25" style="183" customWidth="1"/>
    <col min="6670" max="6673" width="12.375" style="183" customWidth="1"/>
    <col min="6674" max="6675" width="7.75" style="183" customWidth="1"/>
    <col min="6676" max="6676" width="7" style="183" customWidth="1"/>
    <col min="6677" max="6677" width="3" style="183" customWidth="1"/>
    <col min="6678" max="6678" width="12.375" style="183" customWidth="1"/>
    <col min="6679" max="6679" width="14.875" style="183" customWidth="1"/>
    <col min="6680" max="6680" width="13.25" style="183" customWidth="1"/>
    <col min="6681" max="6681" width="12.375" style="183" customWidth="1"/>
    <col min="6682" max="6682" width="7.875" style="183" customWidth="1"/>
    <col min="6683" max="6684" width="7" style="183" customWidth="1"/>
    <col min="6685" max="6912" width="9" style="183"/>
    <col min="6913" max="6913" width="2.75" style="183" customWidth="1"/>
    <col min="6914" max="6914" width="18.875" style="183" customWidth="1"/>
    <col min="6915" max="6915" width="26.625" style="183" customWidth="1"/>
    <col min="6916" max="6916" width="14.375" style="183" customWidth="1"/>
    <col min="6917" max="6917" width="3.25" style="183" customWidth="1"/>
    <col min="6918" max="6921" width="12.375" style="183" customWidth="1"/>
    <col min="6922" max="6922" width="8.5" style="183" customWidth="1"/>
    <col min="6923" max="6924" width="7" style="183" customWidth="1"/>
    <col min="6925" max="6925" width="3.25" style="183" customWidth="1"/>
    <col min="6926" max="6929" width="12.375" style="183" customWidth="1"/>
    <col min="6930" max="6931" width="7.75" style="183" customWidth="1"/>
    <col min="6932" max="6932" width="7" style="183" customWidth="1"/>
    <col min="6933" max="6933" width="3" style="183" customWidth="1"/>
    <col min="6934" max="6934" width="12.375" style="183" customWidth="1"/>
    <col min="6935" max="6935" width="14.875" style="183" customWidth="1"/>
    <col min="6936" max="6936" width="13.25" style="183" customWidth="1"/>
    <col min="6937" max="6937" width="12.375" style="183" customWidth="1"/>
    <col min="6938" max="6938" width="7.875" style="183" customWidth="1"/>
    <col min="6939" max="6940" width="7" style="183" customWidth="1"/>
    <col min="6941" max="7168" width="9" style="183"/>
    <col min="7169" max="7169" width="2.75" style="183" customWidth="1"/>
    <col min="7170" max="7170" width="18.875" style="183" customWidth="1"/>
    <col min="7171" max="7171" width="26.625" style="183" customWidth="1"/>
    <col min="7172" max="7172" width="14.375" style="183" customWidth="1"/>
    <col min="7173" max="7173" width="3.25" style="183" customWidth="1"/>
    <col min="7174" max="7177" width="12.375" style="183" customWidth="1"/>
    <col min="7178" max="7178" width="8.5" style="183" customWidth="1"/>
    <col min="7179" max="7180" width="7" style="183" customWidth="1"/>
    <col min="7181" max="7181" width="3.25" style="183" customWidth="1"/>
    <col min="7182" max="7185" width="12.375" style="183" customWidth="1"/>
    <col min="7186" max="7187" width="7.75" style="183" customWidth="1"/>
    <col min="7188" max="7188" width="7" style="183" customWidth="1"/>
    <col min="7189" max="7189" width="3" style="183" customWidth="1"/>
    <col min="7190" max="7190" width="12.375" style="183" customWidth="1"/>
    <col min="7191" max="7191" width="14.875" style="183" customWidth="1"/>
    <col min="7192" max="7192" width="13.25" style="183" customWidth="1"/>
    <col min="7193" max="7193" width="12.375" style="183" customWidth="1"/>
    <col min="7194" max="7194" width="7.875" style="183" customWidth="1"/>
    <col min="7195" max="7196" width="7" style="183" customWidth="1"/>
    <col min="7197" max="7424" width="9" style="183"/>
    <col min="7425" max="7425" width="2.75" style="183" customWidth="1"/>
    <col min="7426" max="7426" width="18.875" style="183" customWidth="1"/>
    <col min="7427" max="7427" width="26.625" style="183" customWidth="1"/>
    <col min="7428" max="7428" width="14.375" style="183" customWidth="1"/>
    <col min="7429" max="7429" width="3.25" style="183" customWidth="1"/>
    <col min="7430" max="7433" width="12.375" style="183" customWidth="1"/>
    <col min="7434" max="7434" width="8.5" style="183" customWidth="1"/>
    <col min="7435" max="7436" width="7" style="183" customWidth="1"/>
    <col min="7437" max="7437" width="3.25" style="183" customWidth="1"/>
    <col min="7438" max="7441" width="12.375" style="183" customWidth="1"/>
    <col min="7442" max="7443" width="7.75" style="183" customWidth="1"/>
    <col min="7444" max="7444" width="7" style="183" customWidth="1"/>
    <col min="7445" max="7445" width="3" style="183" customWidth="1"/>
    <col min="7446" max="7446" width="12.375" style="183" customWidth="1"/>
    <col min="7447" max="7447" width="14.875" style="183" customWidth="1"/>
    <col min="7448" max="7448" width="13.25" style="183" customWidth="1"/>
    <col min="7449" max="7449" width="12.375" style="183" customWidth="1"/>
    <col min="7450" max="7450" width="7.875" style="183" customWidth="1"/>
    <col min="7451" max="7452" width="7" style="183" customWidth="1"/>
    <col min="7453" max="7680" width="9" style="183"/>
    <col min="7681" max="7681" width="2.75" style="183" customWidth="1"/>
    <col min="7682" max="7682" width="18.875" style="183" customWidth="1"/>
    <col min="7683" max="7683" width="26.625" style="183" customWidth="1"/>
    <col min="7684" max="7684" width="14.375" style="183" customWidth="1"/>
    <col min="7685" max="7685" width="3.25" style="183" customWidth="1"/>
    <col min="7686" max="7689" width="12.375" style="183" customWidth="1"/>
    <col min="7690" max="7690" width="8.5" style="183" customWidth="1"/>
    <col min="7691" max="7692" width="7" style="183" customWidth="1"/>
    <col min="7693" max="7693" width="3.25" style="183" customWidth="1"/>
    <col min="7694" max="7697" width="12.375" style="183" customWidth="1"/>
    <col min="7698" max="7699" width="7.75" style="183" customWidth="1"/>
    <col min="7700" max="7700" width="7" style="183" customWidth="1"/>
    <col min="7701" max="7701" width="3" style="183" customWidth="1"/>
    <col min="7702" max="7702" width="12.375" style="183" customWidth="1"/>
    <col min="7703" max="7703" width="14.875" style="183" customWidth="1"/>
    <col min="7704" max="7704" width="13.25" style="183" customWidth="1"/>
    <col min="7705" max="7705" width="12.375" style="183" customWidth="1"/>
    <col min="7706" max="7706" width="7.875" style="183" customWidth="1"/>
    <col min="7707" max="7708" width="7" style="183" customWidth="1"/>
    <col min="7709" max="7936" width="9" style="183"/>
    <col min="7937" max="7937" width="2.75" style="183" customWidth="1"/>
    <col min="7938" max="7938" width="18.875" style="183" customWidth="1"/>
    <col min="7939" max="7939" width="26.625" style="183" customWidth="1"/>
    <col min="7940" max="7940" width="14.375" style="183" customWidth="1"/>
    <col min="7941" max="7941" width="3.25" style="183" customWidth="1"/>
    <col min="7942" max="7945" width="12.375" style="183" customWidth="1"/>
    <col min="7946" max="7946" width="8.5" style="183" customWidth="1"/>
    <col min="7947" max="7948" width="7" style="183" customWidth="1"/>
    <col min="7949" max="7949" width="3.25" style="183" customWidth="1"/>
    <col min="7950" max="7953" width="12.375" style="183" customWidth="1"/>
    <col min="7954" max="7955" width="7.75" style="183" customWidth="1"/>
    <col min="7956" max="7956" width="7" style="183" customWidth="1"/>
    <col min="7957" max="7957" width="3" style="183" customWidth="1"/>
    <col min="7958" max="7958" width="12.375" style="183" customWidth="1"/>
    <col min="7959" max="7959" width="14.875" style="183" customWidth="1"/>
    <col min="7960" max="7960" width="13.25" style="183" customWidth="1"/>
    <col min="7961" max="7961" width="12.375" style="183" customWidth="1"/>
    <col min="7962" max="7962" width="7.875" style="183" customWidth="1"/>
    <col min="7963" max="7964" width="7" style="183" customWidth="1"/>
    <col min="7965" max="8192" width="9" style="183"/>
    <col min="8193" max="8193" width="2.75" style="183" customWidth="1"/>
    <col min="8194" max="8194" width="18.875" style="183" customWidth="1"/>
    <col min="8195" max="8195" width="26.625" style="183" customWidth="1"/>
    <col min="8196" max="8196" width="14.375" style="183" customWidth="1"/>
    <col min="8197" max="8197" width="3.25" style="183" customWidth="1"/>
    <col min="8198" max="8201" width="12.375" style="183" customWidth="1"/>
    <col min="8202" max="8202" width="8.5" style="183" customWidth="1"/>
    <col min="8203" max="8204" width="7" style="183" customWidth="1"/>
    <col min="8205" max="8205" width="3.25" style="183" customWidth="1"/>
    <col min="8206" max="8209" width="12.375" style="183" customWidth="1"/>
    <col min="8210" max="8211" width="7.75" style="183" customWidth="1"/>
    <col min="8212" max="8212" width="7" style="183" customWidth="1"/>
    <col min="8213" max="8213" width="3" style="183" customWidth="1"/>
    <col min="8214" max="8214" width="12.375" style="183" customWidth="1"/>
    <col min="8215" max="8215" width="14.875" style="183" customWidth="1"/>
    <col min="8216" max="8216" width="13.25" style="183" customWidth="1"/>
    <col min="8217" max="8217" width="12.375" style="183" customWidth="1"/>
    <col min="8218" max="8218" width="7.875" style="183" customWidth="1"/>
    <col min="8219" max="8220" width="7" style="183" customWidth="1"/>
    <col min="8221" max="8448" width="9" style="183"/>
    <col min="8449" max="8449" width="2.75" style="183" customWidth="1"/>
    <col min="8450" max="8450" width="18.875" style="183" customWidth="1"/>
    <col min="8451" max="8451" width="26.625" style="183" customWidth="1"/>
    <col min="8452" max="8452" width="14.375" style="183" customWidth="1"/>
    <col min="8453" max="8453" width="3.25" style="183" customWidth="1"/>
    <col min="8454" max="8457" width="12.375" style="183" customWidth="1"/>
    <col min="8458" max="8458" width="8.5" style="183" customWidth="1"/>
    <col min="8459" max="8460" width="7" style="183" customWidth="1"/>
    <col min="8461" max="8461" width="3.25" style="183" customWidth="1"/>
    <col min="8462" max="8465" width="12.375" style="183" customWidth="1"/>
    <col min="8466" max="8467" width="7.75" style="183" customWidth="1"/>
    <col min="8468" max="8468" width="7" style="183" customWidth="1"/>
    <col min="8469" max="8469" width="3" style="183" customWidth="1"/>
    <col min="8470" max="8470" width="12.375" style="183" customWidth="1"/>
    <col min="8471" max="8471" width="14.875" style="183" customWidth="1"/>
    <col min="8472" max="8472" width="13.25" style="183" customWidth="1"/>
    <col min="8473" max="8473" width="12.375" style="183" customWidth="1"/>
    <col min="8474" max="8474" width="7.875" style="183" customWidth="1"/>
    <col min="8475" max="8476" width="7" style="183" customWidth="1"/>
    <col min="8477" max="8704" width="9" style="183"/>
    <col min="8705" max="8705" width="2.75" style="183" customWidth="1"/>
    <col min="8706" max="8706" width="18.875" style="183" customWidth="1"/>
    <col min="8707" max="8707" width="26.625" style="183" customWidth="1"/>
    <col min="8708" max="8708" width="14.375" style="183" customWidth="1"/>
    <col min="8709" max="8709" width="3.25" style="183" customWidth="1"/>
    <col min="8710" max="8713" width="12.375" style="183" customWidth="1"/>
    <col min="8714" max="8714" width="8.5" style="183" customWidth="1"/>
    <col min="8715" max="8716" width="7" style="183" customWidth="1"/>
    <col min="8717" max="8717" width="3.25" style="183" customWidth="1"/>
    <col min="8718" max="8721" width="12.375" style="183" customWidth="1"/>
    <col min="8722" max="8723" width="7.75" style="183" customWidth="1"/>
    <col min="8724" max="8724" width="7" style="183" customWidth="1"/>
    <col min="8725" max="8725" width="3" style="183" customWidth="1"/>
    <col min="8726" max="8726" width="12.375" style="183" customWidth="1"/>
    <col min="8727" max="8727" width="14.875" style="183" customWidth="1"/>
    <col min="8728" max="8728" width="13.25" style="183" customWidth="1"/>
    <col min="8729" max="8729" width="12.375" style="183" customWidth="1"/>
    <col min="8730" max="8730" width="7.875" style="183" customWidth="1"/>
    <col min="8731" max="8732" width="7" style="183" customWidth="1"/>
    <col min="8733" max="8960" width="9" style="183"/>
    <col min="8961" max="8961" width="2.75" style="183" customWidth="1"/>
    <col min="8962" max="8962" width="18.875" style="183" customWidth="1"/>
    <col min="8963" max="8963" width="26.625" style="183" customWidth="1"/>
    <col min="8964" max="8964" width="14.375" style="183" customWidth="1"/>
    <col min="8965" max="8965" width="3.25" style="183" customWidth="1"/>
    <col min="8966" max="8969" width="12.375" style="183" customWidth="1"/>
    <col min="8970" max="8970" width="8.5" style="183" customWidth="1"/>
    <col min="8971" max="8972" width="7" style="183" customWidth="1"/>
    <col min="8973" max="8973" width="3.25" style="183" customWidth="1"/>
    <col min="8974" max="8977" width="12.375" style="183" customWidth="1"/>
    <col min="8978" max="8979" width="7.75" style="183" customWidth="1"/>
    <col min="8980" max="8980" width="7" style="183" customWidth="1"/>
    <col min="8981" max="8981" width="3" style="183" customWidth="1"/>
    <col min="8982" max="8982" width="12.375" style="183" customWidth="1"/>
    <col min="8983" max="8983" width="14.875" style="183" customWidth="1"/>
    <col min="8984" max="8984" width="13.25" style="183" customWidth="1"/>
    <col min="8985" max="8985" width="12.375" style="183" customWidth="1"/>
    <col min="8986" max="8986" width="7.875" style="183" customWidth="1"/>
    <col min="8987" max="8988" width="7" style="183" customWidth="1"/>
    <col min="8989" max="9216" width="9" style="183"/>
    <col min="9217" max="9217" width="2.75" style="183" customWidth="1"/>
    <col min="9218" max="9218" width="18.875" style="183" customWidth="1"/>
    <col min="9219" max="9219" width="26.625" style="183" customWidth="1"/>
    <col min="9220" max="9220" width="14.375" style="183" customWidth="1"/>
    <col min="9221" max="9221" width="3.25" style="183" customWidth="1"/>
    <col min="9222" max="9225" width="12.375" style="183" customWidth="1"/>
    <col min="9226" max="9226" width="8.5" style="183" customWidth="1"/>
    <col min="9227" max="9228" width="7" style="183" customWidth="1"/>
    <col min="9229" max="9229" width="3.25" style="183" customWidth="1"/>
    <col min="9230" max="9233" width="12.375" style="183" customWidth="1"/>
    <col min="9234" max="9235" width="7.75" style="183" customWidth="1"/>
    <col min="9236" max="9236" width="7" style="183" customWidth="1"/>
    <col min="9237" max="9237" width="3" style="183" customWidth="1"/>
    <col min="9238" max="9238" width="12.375" style="183" customWidth="1"/>
    <col min="9239" max="9239" width="14.875" style="183" customWidth="1"/>
    <col min="9240" max="9240" width="13.25" style="183" customWidth="1"/>
    <col min="9241" max="9241" width="12.375" style="183" customWidth="1"/>
    <col min="9242" max="9242" width="7.875" style="183" customWidth="1"/>
    <col min="9243" max="9244" width="7" style="183" customWidth="1"/>
    <col min="9245" max="9472" width="9" style="183"/>
    <col min="9473" max="9473" width="2.75" style="183" customWidth="1"/>
    <col min="9474" max="9474" width="18.875" style="183" customWidth="1"/>
    <col min="9475" max="9475" width="26.625" style="183" customWidth="1"/>
    <col min="9476" max="9476" width="14.375" style="183" customWidth="1"/>
    <col min="9477" max="9477" width="3.25" style="183" customWidth="1"/>
    <col min="9478" max="9481" width="12.375" style="183" customWidth="1"/>
    <col min="9482" max="9482" width="8.5" style="183" customWidth="1"/>
    <col min="9483" max="9484" width="7" style="183" customWidth="1"/>
    <col min="9485" max="9485" width="3.25" style="183" customWidth="1"/>
    <col min="9486" max="9489" width="12.375" style="183" customWidth="1"/>
    <col min="9490" max="9491" width="7.75" style="183" customWidth="1"/>
    <col min="9492" max="9492" width="7" style="183" customWidth="1"/>
    <col min="9493" max="9493" width="3" style="183" customWidth="1"/>
    <col min="9494" max="9494" width="12.375" style="183" customWidth="1"/>
    <col min="9495" max="9495" width="14.875" style="183" customWidth="1"/>
    <col min="9496" max="9496" width="13.25" style="183" customWidth="1"/>
    <col min="9497" max="9497" width="12.375" style="183" customWidth="1"/>
    <col min="9498" max="9498" width="7.875" style="183" customWidth="1"/>
    <col min="9499" max="9500" width="7" style="183" customWidth="1"/>
    <col min="9501" max="9728" width="9" style="183"/>
    <col min="9729" max="9729" width="2.75" style="183" customWidth="1"/>
    <col min="9730" max="9730" width="18.875" style="183" customWidth="1"/>
    <col min="9731" max="9731" width="26.625" style="183" customWidth="1"/>
    <col min="9732" max="9732" width="14.375" style="183" customWidth="1"/>
    <col min="9733" max="9733" width="3.25" style="183" customWidth="1"/>
    <col min="9734" max="9737" width="12.375" style="183" customWidth="1"/>
    <col min="9738" max="9738" width="8.5" style="183" customWidth="1"/>
    <col min="9739" max="9740" width="7" style="183" customWidth="1"/>
    <col min="9741" max="9741" width="3.25" style="183" customWidth="1"/>
    <col min="9742" max="9745" width="12.375" style="183" customWidth="1"/>
    <col min="9746" max="9747" width="7.75" style="183" customWidth="1"/>
    <col min="9748" max="9748" width="7" style="183" customWidth="1"/>
    <col min="9749" max="9749" width="3" style="183" customWidth="1"/>
    <col min="9750" max="9750" width="12.375" style="183" customWidth="1"/>
    <col min="9751" max="9751" width="14.875" style="183" customWidth="1"/>
    <col min="9752" max="9752" width="13.25" style="183" customWidth="1"/>
    <col min="9753" max="9753" width="12.375" style="183" customWidth="1"/>
    <col min="9754" max="9754" width="7.875" style="183" customWidth="1"/>
    <col min="9755" max="9756" width="7" style="183" customWidth="1"/>
    <col min="9757" max="9984" width="9" style="183"/>
    <col min="9985" max="9985" width="2.75" style="183" customWidth="1"/>
    <col min="9986" max="9986" width="18.875" style="183" customWidth="1"/>
    <col min="9987" max="9987" width="26.625" style="183" customWidth="1"/>
    <col min="9988" max="9988" width="14.375" style="183" customWidth="1"/>
    <col min="9989" max="9989" width="3.25" style="183" customWidth="1"/>
    <col min="9990" max="9993" width="12.375" style="183" customWidth="1"/>
    <col min="9994" max="9994" width="8.5" style="183" customWidth="1"/>
    <col min="9995" max="9996" width="7" style="183" customWidth="1"/>
    <col min="9997" max="9997" width="3.25" style="183" customWidth="1"/>
    <col min="9998" max="10001" width="12.375" style="183" customWidth="1"/>
    <col min="10002" max="10003" width="7.75" style="183" customWidth="1"/>
    <col min="10004" max="10004" width="7" style="183" customWidth="1"/>
    <col min="10005" max="10005" width="3" style="183" customWidth="1"/>
    <col min="10006" max="10006" width="12.375" style="183" customWidth="1"/>
    <col min="10007" max="10007" width="14.875" style="183" customWidth="1"/>
    <col min="10008" max="10008" width="13.25" style="183" customWidth="1"/>
    <col min="10009" max="10009" width="12.375" style="183" customWidth="1"/>
    <col min="10010" max="10010" width="7.875" style="183" customWidth="1"/>
    <col min="10011" max="10012" width="7" style="183" customWidth="1"/>
    <col min="10013" max="10240" width="9" style="183"/>
    <col min="10241" max="10241" width="2.75" style="183" customWidth="1"/>
    <col min="10242" max="10242" width="18.875" style="183" customWidth="1"/>
    <col min="10243" max="10243" width="26.625" style="183" customWidth="1"/>
    <col min="10244" max="10244" width="14.375" style="183" customWidth="1"/>
    <col min="10245" max="10245" width="3.25" style="183" customWidth="1"/>
    <col min="10246" max="10249" width="12.375" style="183" customWidth="1"/>
    <col min="10250" max="10250" width="8.5" style="183" customWidth="1"/>
    <col min="10251" max="10252" width="7" style="183" customWidth="1"/>
    <col min="10253" max="10253" width="3.25" style="183" customWidth="1"/>
    <col min="10254" max="10257" width="12.375" style="183" customWidth="1"/>
    <col min="10258" max="10259" width="7.75" style="183" customWidth="1"/>
    <col min="10260" max="10260" width="7" style="183" customWidth="1"/>
    <col min="10261" max="10261" width="3" style="183" customWidth="1"/>
    <col min="10262" max="10262" width="12.375" style="183" customWidth="1"/>
    <col min="10263" max="10263" width="14.875" style="183" customWidth="1"/>
    <col min="10264" max="10264" width="13.25" style="183" customWidth="1"/>
    <col min="10265" max="10265" width="12.375" style="183" customWidth="1"/>
    <col min="10266" max="10266" width="7.875" style="183" customWidth="1"/>
    <col min="10267" max="10268" width="7" style="183" customWidth="1"/>
    <col min="10269" max="10496" width="9" style="183"/>
    <col min="10497" max="10497" width="2.75" style="183" customWidth="1"/>
    <col min="10498" max="10498" width="18.875" style="183" customWidth="1"/>
    <col min="10499" max="10499" width="26.625" style="183" customWidth="1"/>
    <col min="10500" max="10500" width="14.375" style="183" customWidth="1"/>
    <col min="10501" max="10501" width="3.25" style="183" customWidth="1"/>
    <col min="10502" max="10505" width="12.375" style="183" customWidth="1"/>
    <col min="10506" max="10506" width="8.5" style="183" customWidth="1"/>
    <col min="10507" max="10508" width="7" style="183" customWidth="1"/>
    <col min="10509" max="10509" width="3.25" style="183" customWidth="1"/>
    <col min="10510" max="10513" width="12.375" style="183" customWidth="1"/>
    <col min="10514" max="10515" width="7.75" style="183" customWidth="1"/>
    <col min="10516" max="10516" width="7" style="183" customWidth="1"/>
    <col min="10517" max="10517" width="3" style="183" customWidth="1"/>
    <col min="10518" max="10518" width="12.375" style="183" customWidth="1"/>
    <col min="10519" max="10519" width="14.875" style="183" customWidth="1"/>
    <col min="10520" max="10520" width="13.25" style="183" customWidth="1"/>
    <col min="10521" max="10521" width="12.375" style="183" customWidth="1"/>
    <col min="10522" max="10522" width="7.875" style="183" customWidth="1"/>
    <col min="10523" max="10524" width="7" style="183" customWidth="1"/>
    <col min="10525" max="10752" width="9" style="183"/>
    <col min="10753" max="10753" width="2.75" style="183" customWidth="1"/>
    <col min="10754" max="10754" width="18.875" style="183" customWidth="1"/>
    <col min="10755" max="10755" width="26.625" style="183" customWidth="1"/>
    <col min="10756" max="10756" width="14.375" style="183" customWidth="1"/>
    <col min="10757" max="10757" width="3.25" style="183" customWidth="1"/>
    <col min="10758" max="10761" width="12.375" style="183" customWidth="1"/>
    <col min="10762" max="10762" width="8.5" style="183" customWidth="1"/>
    <col min="10763" max="10764" width="7" style="183" customWidth="1"/>
    <col min="10765" max="10765" width="3.25" style="183" customWidth="1"/>
    <col min="10766" max="10769" width="12.375" style="183" customWidth="1"/>
    <col min="10770" max="10771" width="7.75" style="183" customWidth="1"/>
    <col min="10772" max="10772" width="7" style="183" customWidth="1"/>
    <col min="10773" max="10773" width="3" style="183" customWidth="1"/>
    <col min="10774" max="10774" width="12.375" style="183" customWidth="1"/>
    <col min="10775" max="10775" width="14.875" style="183" customWidth="1"/>
    <col min="10776" max="10776" width="13.25" style="183" customWidth="1"/>
    <col min="10777" max="10777" width="12.375" style="183" customWidth="1"/>
    <col min="10778" max="10778" width="7.875" style="183" customWidth="1"/>
    <col min="10779" max="10780" width="7" style="183" customWidth="1"/>
    <col min="10781" max="11008" width="9" style="183"/>
    <col min="11009" max="11009" width="2.75" style="183" customWidth="1"/>
    <col min="11010" max="11010" width="18.875" style="183" customWidth="1"/>
    <col min="11011" max="11011" width="26.625" style="183" customWidth="1"/>
    <col min="11012" max="11012" width="14.375" style="183" customWidth="1"/>
    <col min="11013" max="11013" width="3.25" style="183" customWidth="1"/>
    <col min="11014" max="11017" width="12.375" style="183" customWidth="1"/>
    <col min="11018" max="11018" width="8.5" style="183" customWidth="1"/>
    <col min="11019" max="11020" width="7" style="183" customWidth="1"/>
    <col min="11021" max="11021" width="3.25" style="183" customWidth="1"/>
    <col min="11022" max="11025" width="12.375" style="183" customWidth="1"/>
    <col min="11026" max="11027" width="7.75" style="183" customWidth="1"/>
    <col min="11028" max="11028" width="7" style="183" customWidth="1"/>
    <col min="11029" max="11029" width="3" style="183" customWidth="1"/>
    <col min="11030" max="11030" width="12.375" style="183" customWidth="1"/>
    <col min="11031" max="11031" width="14.875" style="183" customWidth="1"/>
    <col min="11032" max="11032" width="13.25" style="183" customWidth="1"/>
    <col min="11033" max="11033" width="12.375" style="183" customWidth="1"/>
    <col min="11034" max="11034" width="7.875" style="183" customWidth="1"/>
    <col min="11035" max="11036" width="7" style="183" customWidth="1"/>
    <col min="11037" max="11264" width="9" style="183"/>
    <col min="11265" max="11265" width="2.75" style="183" customWidth="1"/>
    <col min="11266" max="11266" width="18.875" style="183" customWidth="1"/>
    <col min="11267" max="11267" width="26.625" style="183" customWidth="1"/>
    <col min="11268" max="11268" width="14.375" style="183" customWidth="1"/>
    <col min="11269" max="11269" width="3.25" style="183" customWidth="1"/>
    <col min="11270" max="11273" width="12.375" style="183" customWidth="1"/>
    <col min="11274" max="11274" width="8.5" style="183" customWidth="1"/>
    <col min="11275" max="11276" width="7" style="183" customWidth="1"/>
    <col min="11277" max="11277" width="3.25" style="183" customWidth="1"/>
    <col min="11278" max="11281" width="12.375" style="183" customWidth="1"/>
    <col min="11282" max="11283" width="7.75" style="183" customWidth="1"/>
    <col min="11284" max="11284" width="7" style="183" customWidth="1"/>
    <col min="11285" max="11285" width="3" style="183" customWidth="1"/>
    <col min="11286" max="11286" width="12.375" style="183" customWidth="1"/>
    <col min="11287" max="11287" width="14.875" style="183" customWidth="1"/>
    <col min="11288" max="11288" width="13.25" style="183" customWidth="1"/>
    <col min="11289" max="11289" width="12.375" style="183" customWidth="1"/>
    <col min="11290" max="11290" width="7.875" style="183" customWidth="1"/>
    <col min="11291" max="11292" width="7" style="183" customWidth="1"/>
    <col min="11293" max="11520" width="9" style="183"/>
    <col min="11521" max="11521" width="2.75" style="183" customWidth="1"/>
    <col min="11522" max="11522" width="18.875" style="183" customWidth="1"/>
    <col min="11523" max="11523" width="26.625" style="183" customWidth="1"/>
    <col min="11524" max="11524" width="14.375" style="183" customWidth="1"/>
    <col min="11525" max="11525" width="3.25" style="183" customWidth="1"/>
    <col min="11526" max="11529" width="12.375" style="183" customWidth="1"/>
    <col min="11530" max="11530" width="8.5" style="183" customWidth="1"/>
    <col min="11531" max="11532" width="7" style="183" customWidth="1"/>
    <col min="11533" max="11533" width="3.25" style="183" customWidth="1"/>
    <col min="11534" max="11537" width="12.375" style="183" customWidth="1"/>
    <col min="11538" max="11539" width="7.75" style="183" customWidth="1"/>
    <col min="11540" max="11540" width="7" style="183" customWidth="1"/>
    <col min="11541" max="11541" width="3" style="183" customWidth="1"/>
    <col min="11542" max="11542" width="12.375" style="183" customWidth="1"/>
    <col min="11543" max="11543" width="14.875" style="183" customWidth="1"/>
    <col min="11544" max="11544" width="13.25" style="183" customWidth="1"/>
    <col min="11545" max="11545" width="12.375" style="183" customWidth="1"/>
    <col min="11546" max="11546" width="7.875" style="183" customWidth="1"/>
    <col min="11547" max="11548" width="7" style="183" customWidth="1"/>
    <col min="11549" max="11776" width="9" style="183"/>
    <col min="11777" max="11777" width="2.75" style="183" customWidth="1"/>
    <col min="11778" max="11778" width="18.875" style="183" customWidth="1"/>
    <col min="11779" max="11779" width="26.625" style="183" customWidth="1"/>
    <col min="11780" max="11780" width="14.375" style="183" customWidth="1"/>
    <col min="11781" max="11781" width="3.25" style="183" customWidth="1"/>
    <col min="11782" max="11785" width="12.375" style="183" customWidth="1"/>
    <col min="11786" max="11786" width="8.5" style="183" customWidth="1"/>
    <col min="11787" max="11788" width="7" style="183" customWidth="1"/>
    <col min="11789" max="11789" width="3.25" style="183" customWidth="1"/>
    <col min="11790" max="11793" width="12.375" style="183" customWidth="1"/>
    <col min="11794" max="11795" width="7.75" style="183" customWidth="1"/>
    <col min="11796" max="11796" width="7" style="183" customWidth="1"/>
    <col min="11797" max="11797" width="3" style="183" customWidth="1"/>
    <col min="11798" max="11798" width="12.375" style="183" customWidth="1"/>
    <col min="11799" max="11799" width="14.875" style="183" customWidth="1"/>
    <col min="11800" max="11800" width="13.25" style="183" customWidth="1"/>
    <col min="11801" max="11801" width="12.375" style="183" customWidth="1"/>
    <col min="11802" max="11802" width="7.875" style="183" customWidth="1"/>
    <col min="11803" max="11804" width="7" style="183" customWidth="1"/>
    <col min="11805" max="12032" width="9" style="183"/>
    <col min="12033" max="12033" width="2.75" style="183" customWidth="1"/>
    <col min="12034" max="12034" width="18.875" style="183" customWidth="1"/>
    <col min="12035" max="12035" width="26.625" style="183" customWidth="1"/>
    <col min="12036" max="12036" width="14.375" style="183" customWidth="1"/>
    <col min="12037" max="12037" width="3.25" style="183" customWidth="1"/>
    <col min="12038" max="12041" width="12.375" style="183" customWidth="1"/>
    <col min="12042" max="12042" width="8.5" style="183" customWidth="1"/>
    <col min="12043" max="12044" width="7" style="183" customWidth="1"/>
    <col min="12045" max="12045" width="3.25" style="183" customWidth="1"/>
    <col min="12046" max="12049" width="12.375" style="183" customWidth="1"/>
    <col min="12050" max="12051" width="7.75" style="183" customWidth="1"/>
    <col min="12052" max="12052" width="7" style="183" customWidth="1"/>
    <col min="12053" max="12053" width="3" style="183" customWidth="1"/>
    <col min="12054" max="12054" width="12.375" style="183" customWidth="1"/>
    <col min="12055" max="12055" width="14.875" style="183" customWidth="1"/>
    <col min="12056" max="12056" width="13.25" style="183" customWidth="1"/>
    <col min="12057" max="12057" width="12.375" style="183" customWidth="1"/>
    <col min="12058" max="12058" width="7.875" style="183" customWidth="1"/>
    <col min="12059" max="12060" width="7" style="183" customWidth="1"/>
    <col min="12061" max="12288" width="9" style="183"/>
    <col min="12289" max="12289" width="2.75" style="183" customWidth="1"/>
    <col min="12290" max="12290" width="18.875" style="183" customWidth="1"/>
    <col min="12291" max="12291" width="26.625" style="183" customWidth="1"/>
    <col min="12292" max="12292" width="14.375" style="183" customWidth="1"/>
    <col min="12293" max="12293" width="3.25" style="183" customWidth="1"/>
    <col min="12294" max="12297" width="12.375" style="183" customWidth="1"/>
    <col min="12298" max="12298" width="8.5" style="183" customWidth="1"/>
    <col min="12299" max="12300" width="7" style="183" customWidth="1"/>
    <col min="12301" max="12301" width="3.25" style="183" customWidth="1"/>
    <col min="12302" max="12305" width="12.375" style="183" customWidth="1"/>
    <col min="12306" max="12307" width="7.75" style="183" customWidth="1"/>
    <col min="12308" max="12308" width="7" style="183" customWidth="1"/>
    <col min="12309" max="12309" width="3" style="183" customWidth="1"/>
    <col min="12310" max="12310" width="12.375" style="183" customWidth="1"/>
    <col min="12311" max="12311" width="14.875" style="183" customWidth="1"/>
    <col min="12312" max="12312" width="13.25" style="183" customWidth="1"/>
    <col min="12313" max="12313" width="12.375" style="183" customWidth="1"/>
    <col min="12314" max="12314" width="7.875" style="183" customWidth="1"/>
    <col min="12315" max="12316" width="7" style="183" customWidth="1"/>
    <col min="12317" max="12544" width="9" style="183"/>
    <col min="12545" max="12545" width="2.75" style="183" customWidth="1"/>
    <col min="12546" max="12546" width="18.875" style="183" customWidth="1"/>
    <col min="12547" max="12547" width="26.625" style="183" customWidth="1"/>
    <col min="12548" max="12548" width="14.375" style="183" customWidth="1"/>
    <col min="12549" max="12549" width="3.25" style="183" customWidth="1"/>
    <col min="12550" max="12553" width="12.375" style="183" customWidth="1"/>
    <col min="12554" max="12554" width="8.5" style="183" customWidth="1"/>
    <col min="12555" max="12556" width="7" style="183" customWidth="1"/>
    <col min="12557" max="12557" width="3.25" style="183" customWidth="1"/>
    <col min="12558" max="12561" width="12.375" style="183" customWidth="1"/>
    <col min="12562" max="12563" width="7.75" style="183" customWidth="1"/>
    <col min="12564" max="12564" width="7" style="183" customWidth="1"/>
    <col min="12565" max="12565" width="3" style="183" customWidth="1"/>
    <col min="12566" max="12566" width="12.375" style="183" customWidth="1"/>
    <col min="12567" max="12567" width="14.875" style="183" customWidth="1"/>
    <col min="12568" max="12568" width="13.25" style="183" customWidth="1"/>
    <col min="12569" max="12569" width="12.375" style="183" customWidth="1"/>
    <col min="12570" max="12570" width="7.875" style="183" customWidth="1"/>
    <col min="12571" max="12572" width="7" style="183" customWidth="1"/>
    <col min="12573" max="12800" width="9" style="183"/>
    <col min="12801" max="12801" width="2.75" style="183" customWidth="1"/>
    <col min="12802" max="12802" width="18.875" style="183" customWidth="1"/>
    <col min="12803" max="12803" width="26.625" style="183" customWidth="1"/>
    <col min="12804" max="12804" width="14.375" style="183" customWidth="1"/>
    <col min="12805" max="12805" width="3.25" style="183" customWidth="1"/>
    <col min="12806" max="12809" width="12.375" style="183" customWidth="1"/>
    <col min="12810" max="12810" width="8.5" style="183" customWidth="1"/>
    <col min="12811" max="12812" width="7" style="183" customWidth="1"/>
    <col min="12813" max="12813" width="3.25" style="183" customWidth="1"/>
    <col min="12814" max="12817" width="12.375" style="183" customWidth="1"/>
    <col min="12818" max="12819" width="7.75" style="183" customWidth="1"/>
    <col min="12820" max="12820" width="7" style="183" customWidth="1"/>
    <col min="12821" max="12821" width="3" style="183" customWidth="1"/>
    <col min="12822" max="12822" width="12.375" style="183" customWidth="1"/>
    <col min="12823" max="12823" width="14.875" style="183" customWidth="1"/>
    <col min="12824" max="12824" width="13.25" style="183" customWidth="1"/>
    <col min="12825" max="12825" width="12.375" style="183" customWidth="1"/>
    <col min="12826" max="12826" width="7.875" style="183" customWidth="1"/>
    <col min="12827" max="12828" width="7" style="183" customWidth="1"/>
    <col min="12829" max="13056" width="9" style="183"/>
    <col min="13057" max="13057" width="2.75" style="183" customWidth="1"/>
    <col min="13058" max="13058" width="18.875" style="183" customWidth="1"/>
    <col min="13059" max="13059" width="26.625" style="183" customWidth="1"/>
    <col min="13060" max="13060" width="14.375" style="183" customWidth="1"/>
    <col min="13061" max="13061" width="3.25" style="183" customWidth="1"/>
    <col min="13062" max="13065" width="12.375" style="183" customWidth="1"/>
    <col min="13066" max="13066" width="8.5" style="183" customWidth="1"/>
    <col min="13067" max="13068" width="7" style="183" customWidth="1"/>
    <col min="13069" max="13069" width="3.25" style="183" customWidth="1"/>
    <col min="13070" max="13073" width="12.375" style="183" customWidth="1"/>
    <col min="13074" max="13075" width="7.75" style="183" customWidth="1"/>
    <col min="13076" max="13076" width="7" style="183" customWidth="1"/>
    <col min="13077" max="13077" width="3" style="183" customWidth="1"/>
    <col min="13078" max="13078" width="12.375" style="183" customWidth="1"/>
    <col min="13079" max="13079" width="14.875" style="183" customWidth="1"/>
    <col min="13080" max="13080" width="13.25" style="183" customWidth="1"/>
    <col min="13081" max="13081" width="12.375" style="183" customWidth="1"/>
    <col min="13082" max="13082" width="7.875" style="183" customWidth="1"/>
    <col min="13083" max="13084" width="7" style="183" customWidth="1"/>
    <col min="13085" max="13312" width="9" style="183"/>
    <col min="13313" max="13313" width="2.75" style="183" customWidth="1"/>
    <col min="13314" max="13314" width="18.875" style="183" customWidth="1"/>
    <col min="13315" max="13315" width="26.625" style="183" customWidth="1"/>
    <col min="13316" max="13316" width="14.375" style="183" customWidth="1"/>
    <col min="13317" max="13317" width="3.25" style="183" customWidth="1"/>
    <col min="13318" max="13321" width="12.375" style="183" customWidth="1"/>
    <col min="13322" max="13322" width="8.5" style="183" customWidth="1"/>
    <col min="13323" max="13324" width="7" style="183" customWidth="1"/>
    <col min="13325" max="13325" width="3.25" style="183" customWidth="1"/>
    <col min="13326" max="13329" width="12.375" style="183" customWidth="1"/>
    <col min="13330" max="13331" width="7.75" style="183" customWidth="1"/>
    <col min="13332" max="13332" width="7" style="183" customWidth="1"/>
    <col min="13333" max="13333" width="3" style="183" customWidth="1"/>
    <col min="13334" max="13334" width="12.375" style="183" customWidth="1"/>
    <col min="13335" max="13335" width="14.875" style="183" customWidth="1"/>
    <col min="13336" max="13336" width="13.25" style="183" customWidth="1"/>
    <col min="13337" max="13337" width="12.375" style="183" customWidth="1"/>
    <col min="13338" max="13338" width="7.875" style="183" customWidth="1"/>
    <col min="13339" max="13340" width="7" style="183" customWidth="1"/>
    <col min="13341" max="13568" width="9" style="183"/>
    <col min="13569" max="13569" width="2.75" style="183" customWidth="1"/>
    <col min="13570" max="13570" width="18.875" style="183" customWidth="1"/>
    <col min="13571" max="13571" width="26.625" style="183" customWidth="1"/>
    <col min="13572" max="13572" width="14.375" style="183" customWidth="1"/>
    <col min="13573" max="13573" width="3.25" style="183" customWidth="1"/>
    <col min="13574" max="13577" width="12.375" style="183" customWidth="1"/>
    <col min="13578" max="13578" width="8.5" style="183" customWidth="1"/>
    <col min="13579" max="13580" width="7" style="183" customWidth="1"/>
    <col min="13581" max="13581" width="3.25" style="183" customWidth="1"/>
    <col min="13582" max="13585" width="12.375" style="183" customWidth="1"/>
    <col min="13586" max="13587" width="7.75" style="183" customWidth="1"/>
    <col min="13588" max="13588" width="7" style="183" customWidth="1"/>
    <col min="13589" max="13589" width="3" style="183" customWidth="1"/>
    <col min="13590" max="13590" width="12.375" style="183" customWidth="1"/>
    <col min="13591" max="13591" width="14.875" style="183" customWidth="1"/>
    <col min="13592" max="13592" width="13.25" style="183" customWidth="1"/>
    <col min="13593" max="13593" width="12.375" style="183" customWidth="1"/>
    <col min="13594" max="13594" width="7.875" style="183" customWidth="1"/>
    <col min="13595" max="13596" width="7" style="183" customWidth="1"/>
    <col min="13597" max="13824" width="9" style="183"/>
    <col min="13825" max="13825" width="2.75" style="183" customWidth="1"/>
    <col min="13826" max="13826" width="18.875" style="183" customWidth="1"/>
    <col min="13827" max="13827" width="26.625" style="183" customWidth="1"/>
    <col min="13828" max="13828" width="14.375" style="183" customWidth="1"/>
    <col min="13829" max="13829" width="3.25" style="183" customWidth="1"/>
    <col min="13830" max="13833" width="12.375" style="183" customWidth="1"/>
    <col min="13834" max="13834" width="8.5" style="183" customWidth="1"/>
    <col min="13835" max="13836" width="7" style="183" customWidth="1"/>
    <col min="13837" max="13837" width="3.25" style="183" customWidth="1"/>
    <col min="13838" max="13841" width="12.375" style="183" customWidth="1"/>
    <col min="13842" max="13843" width="7.75" style="183" customWidth="1"/>
    <col min="13844" max="13844" width="7" style="183" customWidth="1"/>
    <col min="13845" max="13845" width="3" style="183" customWidth="1"/>
    <col min="13846" max="13846" width="12.375" style="183" customWidth="1"/>
    <col min="13847" max="13847" width="14.875" style="183" customWidth="1"/>
    <col min="13848" max="13848" width="13.25" style="183" customWidth="1"/>
    <col min="13849" max="13849" width="12.375" style="183" customWidth="1"/>
    <col min="13850" max="13850" width="7.875" style="183" customWidth="1"/>
    <col min="13851" max="13852" width="7" style="183" customWidth="1"/>
    <col min="13853" max="14080" width="9" style="183"/>
    <col min="14081" max="14081" width="2.75" style="183" customWidth="1"/>
    <col min="14082" max="14082" width="18.875" style="183" customWidth="1"/>
    <col min="14083" max="14083" width="26.625" style="183" customWidth="1"/>
    <col min="14084" max="14084" width="14.375" style="183" customWidth="1"/>
    <col min="14085" max="14085" width="3.25" style="183" customWidth="1"/>
    <col min="14086" max="14089" width="12.375" style="183" customWidth="1"/>
    <col min="14090" max="14090" width="8.5" style="183" customWidth="1"/>
    <col min="14091" max="14092" width="7" style="183" customWidth="1"/>
    <col min="14093" max="14093" width="3.25" style="183" customWidth="1"/>
    <col min="14094" max="14097" width="12.375" style="183" customWidth="1"/>
    <col min="14098" max="14099" width="7.75" style="183" customWidth="1"/>
    <col min="14100" max="14100" width="7" style="183" customWidth="1"/>
    <col min="14101" max="14101" width="3" style="183" customWidth="1"/>
    <col min="14102" max="14102" width="12.375" style="183" customWidth="1"/>
    <col min="14103" max="14103" width="14.875" style="183" customWidth="1"/>
    <col min="14104" max="14104" width="13.25" style="183" customWidth="1"/>
    <col min="14105" max="14105" width="12.375" style="183" customWidth="1"/>
    <col min="14106" max="14106" width="7.875" style="183" customWidth="1"/>
    <col min="14107" max="14108" width="7" style="183" customWidth="1"/>
    <col min="14109" max="14336" width="9" style="183"/>
    <col min="14337" max="14337" width="2.75" style="183" customWidth="1"/>
    <col min="14338" max="14338" width="18.875" style="183" customWidth="1"/>
    <col min="14339" max="14339" width="26.625" style="183" customWidth="1"/>
    <col min="14340" max="14340" width="14.375" style="183" customWidth="1"/>
    <col min="14341" max="14341" width="3.25" style="183" customWidth="1"/>
    <col min="14342" max="14345" width="12.375" style="183" customWidth="1"/>
    <col min="14346" max="14346" width="8.5" style="183" customWidth="1"/>
    <col min="14347" max="14348" width="7" style="183" customWidth="1"/>
    <col min="14349" max="14349" width="3.25" style="183" customWidth="1"/>
    <col min="14350" max="14353" width="12.375" style="183" customWidth="1"/>
    <col min="14354" max="14355" width="7.75" style="183" customWidth="1"/>
    <col min="14356" max="14356" width="7" style="183" customWidth="1"/>
    <col min="14357" max="14357" width="3" style="183" customWidth="1"/>
    <col min="14358" max="14358" width="12.375" style="183" customWidth="1"/>
    <col min="14359" max="14359" width="14.875" style="183" customWidth="1"/>
    <col min="14360" max="14360" width="13.25" style="183" customWidth="1"/>
    <col min="14361" max="14361" width="12.375" style="183" customWidth="1"/>
    <col min="14362" max="14362" width="7.875" style="183" customWidth="1"/>
    <col min="14363" max="14364" width="7" style="183" customWidth="1"/>
    <col min="14365" max="14592" width="9" style="183"/>
    <col min="14593" max="14593" width="2.75" style="183" customWidth="1"/>
    <col min="14594" max="14594" width="18.875" style="183" customWidth="1"/>
    <col min="14595" max="14595" width="26.625" style="183" customWidth="1"/>
    <col min="14596" max="14596" width="14.375" style="183" customWidth="1"/>
    <col min="14597" max="14597" width="3.25" style="183" customWidth="1"/>
    <col min="14598" max="14601" width="12.375" style="183" customWidth="1"/>
    <col min="14602" max="14602" width="8.5" style="183" customWidth="1"/>
    <col min="14603" max="14604" width="7" style="183" customWidth="1"/>
    <col min="14605" max="14605" width="3.25" style="183" customWidth="1"/>
    <col min="14606" max="14609" width="12.375" style="183" customWidth="1"/>
    <col min="14610" max="14611" width="7.75" style="183" customWidth="1"/>
    <col min="14612" max="14612" width="7" style="183" customWidth="1"/>
    <col min="14613" max="14613" width="3" style="183" customWidth="1"/>
    <col min="14614" max="14614" width="12.375" style="183" customWidth="1"/>
    <col min="14615" max="14615" width="14.875" style="183" customWidth="1"/>
    <col min="14616" max="14616" width="13.25" style="183" customWidth="1"/>
    <col min="14617" max="14617" width="12.375" style="183" customWidth="1"/>
    <col min="14618" max="14618" width="7.875" style="183" customWidth="1"/>
    <col min="14619" max="14620" width="7" style="183" customWidth="1"/>
    <col min="14621" max="14848" width="9" style="183"/>
    <col min="14849" max="14849" width="2.75" style="183" customWidth="1"/>
    <col min="14850" max="14850" width="18.875" style="183" customWidth="1"/>
    <col min="14851" max="14851" width="26.625" style="183" customWidth="1"/>
    <col min="14852" max="14852" width="14.375" style="183" customWidth="1"/>
    <col min="14853" max="14853" width="3.25" style="183" customWidth="1"/>
    <col min="14854" max="14857" width="12.375" style="183" customWidth="1"/>
    <col min="14858" max="14858" width="8.5" style="183" customWidth="1"/>
    <col min="14859" max="14860" width="7" style="183" customWidth="1"/>
    <col min="14861" max="14861" width="3.25" style="183" customWidth="1"/>
    <col min="14862" max="14865" width="12.375" style="183" customWidth="1"/>
    <col min="14866" max="14867" width="7.75" style="183" customWidth="1"/>
    <col min="14868" max="14868" width="7" style="183" customWidth="1"/>
    <col min="14869" max="14869" width="3" style="183" customWidth="1"/>
    <col min="14870" max="14870" width="12.375" style="183" customWidth="1"/>
    <col min="14871" max="14871" width="14.875" style="183" customWidth="1"/>
    <col min="14872" max="14872" width="13.25" style="183" customWidth="1"/>
    <col min="14873" max="14873" width="12.375" style="183" customWidth="1"/>
    <col min="14874" max="14874" width="7.875" style="183" customWidth="1"/>
    <col min="14875" max="14876" width="7" style="183" customWidth="1"/>
    <col min="14877" max="15104" width="9" style="183"/>
    <col min="15105" max="15105" width="2.75" style="183" customWidth="1"/>
    <col min="15106" max="15106" width="18.875" style="183" customWidth="1"/>
    <col min="15107" max="15107" width="26.625" style="183" customWidth="1"/>
    <col min="15108" max="15108" width="14.375" style="183" customWidth="1"/>
    <col min="15109" max="15109" width="3.25" style="183" customWidth="1"/>
    <col min="15110" max="15113" width="12.375" style="183" customWidth="1"/>
    <col min="15114" max="15114" width="8.5" style="183" customWidth="1"/>
    <col min="15115" max="15116" width="7" style="183" customWidth="1"/>
    <col min="15117" max="15117" width="3.25" style="183" customWidth="1"/>
    <col min="15118" max="15121" width="12.375" style="183" customWidth="1"/>
    <col min="15122" max="15123" width="7.75" style="183" customWidth="1"/>
    <col min="15124" max="15124" width="7" style="183" customWidth="1"/>
    <col min="15125" max="15125" width="3" style="183" customWidth="1"/>
    <col min="15126" max="15126" width="12.375" style="183" customWidth="1"/>
    <col min="15127" max="15127" width="14.875" style="183" customWidth="1"/>
    <col min="15128" max="15128" width="13.25" style="183" customWidth="1"/>
    <col min="15129" max="15129" width="12.375" style="183" customWidth="1"/>
    <col min="15130" max="15130" width="7.875" style="183" customWidth="1"/>
    <col min="15131" max="15132" width="7" style="183" customWidth="1"/>
    <col min="15133" max="15360" width="9" style="183"/>
    <col min="15361" max="15361" width="2.75" style="183" customWidth="1"/>
    <col min="15362" max="15362" width="18.875" style="183" customWidth="1"/>
    <col min="15363" max="15363" width="26.625" style="183" customWidth="1"/>
    <col min="15364" max="15364" width="14.375" style="183" customWidth="1"/>
    <col min="15365" max="15365" width="3.25" style="183" customWidth="1"/>
    <col min="15366" max="15369" width="12.375" style="183" customWidth="1"/>
    <col min="15370" max="15370" width="8.5" style="183" customWidth="1"/>
    <col min="15371" max="15372" width="7" style="183" customWidth="1"/>
    <col min="15373" max="15373" width="3.25" style="183" customWidth="1"/>
    <col min="15374" max="15377" width="12.375" style="183" customWidth="1"/>
    <col min="15378" max="15379" width="7.75" style="183" customWidth="1"/>
    <col min="15380" max="15380" width="7" style="183" customWidth="1"/>
    <col min="15381" max="15381" width="3" style="183" customWidth="1"/>
    <col min="15382" max="15382" width="12.375" style="183" customWidth="1"/>
    <col min="15383" max="15383" width="14.875" style="183" customWidth="1"/>
    <col min="15384" max="15384" width="13.25" style="183" customWidth="1"/>
    <col min="15385" max="15385" width="12.375" style="183" customWidth="1"/>
    <col min="15386" max="15386" width="7.875" style="183" customWidth="1"/>
    <col min="15387" max="15388" width="7" style="183" customWidth="1"/>
    <col min="15389" max="15616" width="9" style="183"/>
    <col min="15617" max="15617" width="2.75" style="183" customWidth="1"/>
    <col min="15618" max="15618" width="18.875" style="183" customWidth="1"/>
    <col min="15619" max="15619" width="26.625" style="183" customWidth="1"/>
    <col min="15620" max="15620" width="14.375" style="183" customWidth="1"/>
    <col min="15621" max="15621" width="3.25" style="183" customWidth="1"/>
    <col min="15622" max="15625" width="12.375" style="183" customWidth="1"/>
    <col min="15626" max="15626" width="8.5" style="183" customWidth="1"/>
    <col min="15627" max="15628" width="7" style="183" customWidth="1"/>
    <col min="15629" max="15629" width="3.25" style="183" customWidth="1"/>
    <col min="15630" max="15633" width="12.375" style="183" customWidth="1"/>
    <col min="15634" max="15635" width="7.75" style="183" customWidth="1"/>
    <col min="15636" max="15636" width="7" style="183" customWidth="1"/>
    <col min="15637" max="15637" width="3" style="183" customWidth="1"/>
    <col min="15638" max="15638" width="12.375" style="183" customWidth="1"/>
    <col min="15639" max="15639" width="14.875" style="183" customWidth="1"/>
    <col min="15640" max="15640" width="13.25" style="183" customWidth="1"/>
    <col min="15641" max="15641" width="12.375" style="183" customWidth="1"/>
    <col min="15642" max="15642" width="7.875" style="183" customWidth="1"/>
    <col min="15643" max="15644" width="7" style="183" customWidth="1"/>
    <col min="15645" max="15872" width="9" style="183"/>
    <col min="15873" max="15873" width="2.75" style="183" customWidth="1"/>
    <col min="15874" max="15874" width="18.875" style="183" customWidth="1"/>
    <col min="15875" max="15875" width="26.625" style="183" customWidth="1"/>
    <col min="15876" max="15876" width="14.375" style="183" customWidth="1"/>
    <col min="15877" max="15877" width="3.25" style="183" customWidth="1"/>
    <col min="15878" max="15881" width="12.375" style="183" customWidth="1"/>
    <col min="15882" max="15882" width="8.5" style="183" customWidth="1"/>
    <col min="15883" max="15884" width="7" style="183" customWidth="1"/>
    <col min="15885" max="15885" width="3.25" style="183" customWidth="1"/>
    <col min="15886" max="15889" width="12.375" style="183" customWidth="1"/>
    <col min="15890" max="15891" width="7.75" style="183" customWidth="1"/>
    <col min="15892" max="15892" width="7" style="183" customWidth="1"/>
    <col min="15893" max="15893" width="3" style="183" customWidth="1"/>
    <col min="15894" max="15894" width="12.375" style="183" customWidth="1"/>
    <col min="15895" max="15895" width="14.875" style="183" customWidth="1"/>
    <col min="15896" max="15896" width="13.25" style="183" customWidth="1"/>
    <col min="15897" max="15897" width="12.375" style="183" customWidth="1"/>
    <col min="15898" max="15898" width="7.875" style="183" customWidth="1"/>
    <col min="15899" max="15900" width="7" style="183" customWidth="1"/>
    <col min="15901" max="16128" width="9" style="183"/>
    <col min="16129" max="16129" width="2.75" style="183" customWidth="1"/>
    <col min="16130" max="16130" width="18.875" style="183" customWidth="1"/>
    <col min="16131" max="16131" width="26.625" style="183" customWidth="1"/>
    <col min="16132" max="16132" width="14.375" style="183" customWidth="1"/>
    <col min="16133" max="16133" width="3.25" style="183" customWidth="1"/>
    <col min="16134" max="16137" width="12.375" style="183" customWidth="1"/>
    <col min="16138" max="16138" width="8.5" style="183" customWidth="1"/>
    <col min="16139" max="16140" width="7" style="183" customWidth="1"/>
    <col min="16141" max="16141" width="3.25" style="183" customWidth="1"/>
    <col min="16142" max="16145" width="12.375" style="183" customWidth="1"/>
    <col min="16146" max="16147" width="7.75" style="183" customWidth="1"/>
    <col min="16148" max="16148" width="7" style="183" customWidth="1"/>
    <col min="16149" max="16149" width="3" style="183" customWidth="1"/>
    <col min="16150" max="16150" width="12.375" style="183" customWidth="1"/>
    <col min="16151" max="16151" width="14.875" style="183" customWidth="1"/>
    <col min="16152" max="16152" width="13.25" style="183" customWidth="1"/>
    <col min="16153" max="16153" width="12.375" style="183" customWidth="1"/>
    <col min="16154" max="16154" width="7.875" style="183" customWidth="1"/>
    <col min="16155" max="16156" width="7" style="183" customWidth="1"/>
    <col min="16157" max="16384" width="9" style="183"/>
  </cols>
  <sheetData>
    <row r="1" spans="1:39" s="181" customFormat="1" ht="57.75" customHeight="1" x14ac:dyDescent="0.25">
      <c r="A1" s="175" t="s">
        <v>0</v>
      </c>
      <c r="B1" s="176"/>
      <c r="C1" s="177"/>
      <c r="D1" s="403" t="s">
        <v>32</v>
      </c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178"/>
      <c r="W1" s="178"/>
      <c r="X1" s="178"/>
      <c r="Y1" s="178"/>
      <c r="Z1" s="177"/>
      <c r="AA1" s="177"/>
      <c r="AB1" s="179" t="s">
        <v>0</v>
      </c>
      <c r="AC1" s="180"/>
    </row>
    <row r="2" spans="1:39" s="181" customFormat="1" ht="24.75" customHeight="1" thickBot="1" x14ac:dyDescent="0.3"/>
    <row r="3" spans="1:39" ht="47.25" customHeight="1" thickBot="1" x14ac:dyDescent="0.3">
      <c r="A3" s="404" t="s">
        <v>31</v>
      </c>
      <c r="B3" s="405"/>
      <c r="C3" s="406" t="s">
        <v>96</v>
      </c>
      <c r="D3" s="407"/>
      <c r="E3" s="182"/>
      <c r="H3" s="184"/>
      <c r="L3" s="185" t="s">
        <v>89</v>
      </c>
      <c r="AD3" s="181"/>
      <c r="AE3" s="181"/>
      <c r="AF3" s="181"/>
      <c r="AG3" s="181"/>
      <c r="AH3" s="181"/>
      <c r="AI3" s="181"/>
      <c r="AJ3" s="181"/>
      <c r="AK3" s="181"/>
      <c r="AL3" s="181"/>
      <c r="AM3" s="181"/>
    </row>
    <row r="4" spans="1:39" ht="24.75" customHeight="1" thickBot="1" x14ac:dyDescent="0.3">
      <c r="E4" s="186"/>
      <c r="H4" s="187" t="s">
        <v>28</v>
      </c>
      <c r="I4" s="188"/>
      <c r="J4" s="188"/>
      <c r="K4" s="188"/>
      <c r="L4" s="189" t="s">
        <v>16</v>
      </c>
      <c r="M4" s="188"/>
      <c r="N4" s="188"/>
      <c r="O4" s="188"/>
      <c r="P4" s="187" t="s">
        <v>29</v>
      </c>
      <c r="AD4" s="181"/>
      <c r="AE4" s="181"/>
      <c r="AF4" s="181"/>
      <c r="AG4" s="181"/>
      <c r="AH4" s="181"/>
      <c r="AI4" s="181"/>
      <c r="AJ4" s="181"/>
      <c r="AK4" s="181"/>
      <c r="AL4" s="181"/>
      <c r="AM4" s="181"/>
    </row>
    <row r="5" spans="1:39" ht="47.25" customHeight="1" thickBot="1" x14ac:dyDescent="0.3">
      <c r="A5" s="404" t="s">
        <v>30</v>
      </c>
      <c r="B5" s="405"/>
      <c r="C5" s="406" t="s">
        <v>97</v>
      </c>
      <c r="D5" s="407"/>
      <c r="E5" s="190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1:39" ht="24.75" customHeight="1" x14ac:dyDescent="0.25">
      <c r="A6" s="190"/>
      <c r="B6" s="190"/>
      <c r="E6" s="190"/>
      <c r="F6" s="397" t="s">
        <v>6</v>
      </c>
      <c r="G6" s="397"/>
      <c r="H6" s="397"/>
      <c r="I6" s="397"/>
      <c r="J6" s="397"/>
      <c r="K6" s="397"/>
      <c r="L6" s="397"/>
      <c r="M6" s="191"/>
      <c r="N6" s="397" t="s">
        <v>15</v>
      </c>
      <c r="O6" s="397"/>
      <c r="P6" s="397"/>
      <c r="Q6" s="397"/>
      <c r="R6" s="397"/>
      <c r="S6" s="397"/>
      <c r="T6" s="397"/>
      <c r="U6" s="191"/>
      <c r="V6" s="400" t="s">
        <v>7</v>
      </c>
      <c r="W6" s="400"/>
      <c r="X6" s="400"/>
      <c r="Y6" s="400"/>
      <c r="Z6" s="400"/>
      <c r="AA6" s="400"/>
      <c r="AB6" s="400"/>
      <c r="AC6" s="186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1:39" ht="24.75" customHeight="1" x14ac:dyDescent="0.25">
      <c r="A7" s="192" t="s">
        <v>23</v>
      </c>
      <c r="B7" s="193"/>
      <c r="C7" s="194"/>
      <c r="D7" s="195" t="str">
        <f ca="1">IF(MONTH(TODAY())&lt;6,"( in Nov-Dec   -   March. Forecast )","( in May-Jun   -   Nov. Forecast )")</f>
        <v>( in May-Jun   -   Nov. Forecast )</v>
      </c>
      <c r="E7" s="196"/>
      <c r="F7" s="398">
        <v>2015</v>
      </c>
      <c r="G7" s="393">
        <f>+F7+1</f>
        <v>2016</v>
      </c>
      <c r="H7" s="393">
        <f>+G7+1</f>
        <v>2017</v>
      </c>
      <c r="I7" s="395">
        <f>+H7+1</f>
        <v>2018</v>
      </c>
      <c r="J7" s="197"/>
      <c r="K7" s="198" t="s">
        <v>11</v>
      </c>
      <c r="L7" s="199"/>
      <c r="N7" s="401"/>
      <c r="O7" s="401"/>
      <c r="P7" s="401"/>
      <c r="Q7" s="401"/>
      <c r="R7" s="200"/>
      <c r="S7" s="201"/>
      <c r="T7" s="200"/>
      <c r="U7" s="202"/>
      <c r="V7" s="402"/>
      <c r="W7" s="402"/>
      <c r="X7" s="402"/>
      <c r="Y7" s="402"/>
      <c r="Z7" s="200"/>
      <c r="AA7" s="201"/>
      <c r="AB7" s="200"/>
      <c r="AC7" s="203"/>
      <c r="AD7" s="181"/>
      <c r="AE7" s="181"/>
      <c r="AF7" s="181"/>
      <c r="AG7" s="181"/>
      <c r="AH7" s="181"/>
      <c r="AI7" s="181"/>
      <c r="AJ7" s="181"/>
      <c r="AK7" s="181"/>
      <c r="AL7" s="181"/>
      <c r="AM7" s="181"/>
    </row>
    <row r="8" spans="1:39" ht="24.75" customHeight="1" x14ac:dyDescent="0.25">
      <c r="A8" s="204"/>
      <c r="B8" s="193"/>
      <c r="C8" s="194"/>
      <c r="D8" s="205" t="s">
        <v>24</v>
      </c>
      <c r="E8" s="196"/>
      <c r="F8" s="399"/>
      <c r="G8" s="394"/>
      <c r="H8" s="394"/>
      <c r="I8" s="396"/>
      <c r="J8" s="206" t="str">
        <f>G7&amp;"/"&amp;RIGHT(F7,2)</f>
        <v>2016/15</v>
      </c>
      <c r="K8" s="207" t="str">
        <f>H7&amp;"/"&amp;RIGHT(G7,2)</f>
        <v>2017/16</v>
      </c>
      <c r="L8" s="208" t="str">
        <f>I7&amp;"/"&amp;RIGHT(H7,2)</f>
        <v>2018/17</v>
      </c>
      <c r="N8" s="402"/>
      <c r="O8" s="402"/>
      <c r="P8" s="402"/>
      <c r="Q8" s="402"/>
      <c r="R8" s="209"/>
      <c r="S8" s="209"/>
      <c r="T8" s="209"/>
      <c r="U8" s="202"/>
      <c r="V8" s="402"/>
      <c r="W8" s="402"/>
      <c r="X8" s="402"/>
      <c r="Y8" s="402"/>
      <c r="Z8" s="209"/>
      <c r="AA8" s="209"/>
      <c r="AB8" s="209"/>
      <c r="AC8" s="202"/>
      <c r="AD8" s="181"/>
      <c r="AE8" s="181"/>
      <c r="AF8" s="181"/>
      <c r="AG8" s="181"/>
      <c r="AH8" s="181"/>
      <c r="AI8" s="181"/>
      <c r="AJ8" s="181"/>
      <c r="AK8" s="181"/>
      <c r="AL8" s="181"/>
      <c r="AM8" s="181"/>
    </row>
    <row r="9" spans="1:39" ht="24.75" customHeight="1" x14ac:dyDescent="0.25">
      <c r="A9" s="190"/>
      <c r="B9" s="210" t="s">
        <v>18</v>
      </c>
      <c r="C9" s="190"/>
      <c r="D9" s="190"/>
      <c r="E9" s="190"/>
      <c r="F9" s="211">
        <v>1605.86</v>
      </c>
      <c r="G9" s="212">
        <v>1635.009</v>
      </c>
      <c r="H9" s="212">
        <v>1634</v>
      </c>
      <c r="I9" s="308">
        <v>1653</v>
      </c>
      <c r="J9" s="56">
        <f t="shared" ref="J9:L12" si="0">IF(OR(G9=0,F9=0),"",G9/F9-1)</f>
        <v>1.8151644601646533E-2</v>
      </c>
      <c r="K9" s="57">
        <f t="shared" si="0"/>
        <v>-6.1712198526120421E-4</v>
      </c>
      <c r="L9" s="58">
        <f t="shared" si="0"/>
        <v>1.1627906976744207E-2</v>
      </c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181"/>
      <c r="AE9" s="181"/>
      <c r="AF9" s="181"/>
      <c r="AG9" s="181"/>
      <c r="AH9" s="181"/>
      <c r="AI9" s="181"/>
      <c r="AJ9" s="181"/>
      <c r="AK9" s="181"/>
      <c r="AL9" s="181"/>
      <c r="AM9" s="181"/>
    </row>
    <row r="10" spans="1:39" ht="24.75" customHeight="1" x14ac:dyDescent="0.25">
      <c r="A10" s="190"/>
      <c r="C10" s="213" t="s">
        <v>33</v>
      </c>
      <c r="D10" s="186"/>
      <c r="E10" s="190"/>
      <c r="F10" s="214">
        <v>243.26</v>
      </c>
      <c r="G10" s="215">
        <v>238.90899999999999</v>
      </c>
      <c r="H10" s="215">
        <v>241.2</v>
      </c>
      <c r="I10" s="309">
        <v>243.7</v>
      </c>
      <c r="J10" s="59">
        <f t="shared" si="0"/>
        <v>-1.7886212283153791E-2</v>
      </c>
      <c r="K10" s="60">
        <f t="shared" si="0"/>
        <v>9.5894252623383025E-3</v>
      </c>
      <c r="L10" s="61">
        <f t="shared" si="0"/>
        <v>1.0364842454394729E-2</v>
      </c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</row>
    <row r="11" spans="1:39" ht="24.75" customHeight="1" x14ac:dyDescent="0.25">
      <c r="A11" s="190"/>
      <c r="C11" s="216" t="s">
        <v>34</v>
      </c>
      <c r="D11" s="216"/>
      <c r="E11" s="190"/>
      <c r="F11" s="214">
        <v>475.803</v>
      </c>
      <c r="G11" s="215">
        <v>484.88100000000003</v>
      </c>
      <c r="H11" s="215">
        <v>482</v>
      </c>
      <c r="I11" s="309">
        <v>487</v>
      </c>
      <c r="J11" s="59">
        <f t="shared" si="0"/>
        <v>1.9079324846627665E-2</v>
      </c>
      <c r="K11" s="60">
        <f t="shared" si="0"/>
        <v>-5.9416640371555696E-3</v>
      </c>
      <c r="L11" s="61">
        <f t="shared" si="0"/>
        <v>1.0373443983402453E-2</v>
      </c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</row>
    <row r="12" spans="1:39" ht="24.75" customHeight="1" x14ac:dyDescent="0.25">
      <c r="A12" s="190"/>
      <c r="C12" s="217" t="s">
        <v>38</v>
      </c>
      <c r="D12" s="186"/>
      <c r="E12" s="190"/>
      <c r="F12" s="218">
        <f>+F10+F11</f>
        <v>719.06299999999999</v>
      </c>
      <c r="G12" s="219">
        <f>+G10+G11</f>
        <v>723.79</v>
      </c>
      <c r="H12" s="219">
        <f>+H10+H11</f>
        <v>723.2</v>
      </c>
      <c r="I12" s="237">
        <f>+I10+I11</f>
        <v>730.7</v>
      </c>
      <c r="J12" s="59">
        <f t="shared" si="0"/>
        <v>6.5738328908593324E-3</v>
      </c>
      <c r="K12" s="60">
        <f t="shared" si="0"/>
        <v>-8.1515356664219052E-4</v>
      </c>
      <c r="L12" s="61">
        <f t="shared" si="0"/>
        <v>1.0370575221238854E-2</v>
      </c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</row>
    <row r="13" spans="1:39" ht="24.75" customHeight="1" x14ac:dyDescent="0.25">
      <c r="A13" s="220" t="s">
        <v>8</v>
      </c>
      <c r="B13" s="193"/>
      <c r="C13" s="193"/>
      <c r="D13" s="193"/>
      <c r="E13" s="193"/>
      <c r="F13" s="398">
        <f>$F$7</f>
        <v>2015</v>
      </c>
      <c r="G13" s="393">
        <f>+F13+1</f>
        <v>2016</v>
      </c>
      <c r="H13" s="393">
        <f>+G13+1</f>
        <v>2017</v>
      </c>
      <c r="I13" s="395">
        <f>+H13+1</f>
        <v>2018</v>
      </c>
      <c r="J13" s="197"/>
      <c r="K13" s="198" t="s">
        <v>11</v>
      </c>
      <c r="L13" s="199"/>
      <c r="M13" s="221"/>
      <c r="N13" s="398">
        <f>$F$7</f>
        <v>2015</v>
      </c>
      <c r="O13" s="393">
        <f>+N13+1</f>
        <v>2016</v>
      </c>
      <c r="P13" s="393">
        <f>+O13+1</f>
        <v>2017</v>
      </c>
      <c r="Q13" s="395">
        <f>+P13+1</f>
        <v>2018</v>
      </c>
      <c r="R13" s="197"/>
      <c r="S13" s="198" t="s">
        <v>11</v>
      </c>
      <c r="T13" s="199"/>
      <c r="U13" s="221"/>
      <c r="V13" s="398">
        <f>$F$7</f>
        <v>2015</v>
      </c>
      <c r="W13" s="393">
        <f>+V13+1</f>
        <v>2016</v>
      </c>
      <c r="X13" s="393">
        <f>+W13+1</f>
        <v>2017</v>
      </c>
      <c r="Y13" s="395">
        <f>+X13+1</f>
        <v>2018</v>
      </c>
      <c r="Z13" s="197"/>
      <c r="AA13" s="198" t="s">
        <v>11</v>
      </c>
      <c r="AB13" s="199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</row>
    <row r="14" spans="1:39" ht="24.75" customHeight="1" x14ac:dyDescent="0.25">
      <c r="A14" s="222"/>
      <c r="B14" s="193"/>
      <c r="C14" s="193"/>
      <c r="D14" s="223" t="s">
        <v>25</v>
      </c>
      <c r="E14" s="193"/>
      <c r="F14" s="399"/>
      <c r="G14" s="394"/>
      <c r="H14" s="394"/>
      <c r="I14" s="396"/>
      <c r="J14" s="206" t="str">
        <f>G13&amp;"/"&amp;RIGHT(F13,2)</f>
        <v>2016/15</v>
      </c>
      <c r="K14" s="207" t="str">
        <f>H13&amp;"/"&amp;RIGHT(G13,2)</f>
        <v>2017/16</v>
      </c>
      <c r="L14" s="208" t="str">
        <f>I13&amp;"/"&amp;RIGHT(H13,2)</f>
        <v>2018/17</v>
      </c>
      <c r="M14" s="221"/>
      <c r="N14" s="399"/>
      <c r="O14" s="394"/>
      <c r="P14" s="394"/>
      <c r="Q14" s="396"/>
      <c r="R14" s="206" t="str">
        <f>O13&amp;"/"&amp;RIGHT(N13,2)</f>
        <v>2016/15</v>
      </c>
      <c r="S14" s="207" t="str">
        <f>P13&amp;"/"&amp;RIGHT(O13,2)</f>
        <v>2017/16</v>
      </c>
      <c r="T14" s="208" t="str">
        <f>Q13&amp;"/"&amp;RIGHT(P13,2)</f>
        <v>2018/17</v>
      </c>
      <c r="U14" s="221"/>
      <c r="V14" s="399"/>
      <c r="W14" s="394"/>
      <c r="X14" s="394"/>
      <c r="Y14" s="396"/>
      <c r="Z14" s="206" t="str">
        <f>W13&amp;"/"&amp;RIGHT(V13,2)</f>
        <v>2016/15</v>
      </c>
      <c r="AA14" s="207" t="str">
        <f>X13&amp;"/"&amp;RIGHT(W13,2)</f>
        <v>2017/16</v>
      </c>
      <c r="AB14" s="208" t="str">
        <f>Y13&amp;"/"&amp;RIGHT(X13,2)</f>
        <v>2018/17</v>
      </c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</row>
    <row r="15" spans="1:39" ht="24.75" customHeight="1" x14ac:dyDescent="0.25">
      <c r="A15" s="224"/>
      <c r="B15" s="224"/>
      <c r="C15" s="186" t="s">
        <v>1</v>
      </c>
      <c r="D15" s="186"/>
      <c r="E15" s="190"/>
      <c r="F15" s="225">
        <f>+F24+(F20+F21)/2-F18/2</f>
        <v>34.899988899999997</v>
      </c>
      <c r="G15" s="226">
        <f>+G24+(G20+G21)/2-G18/2</f>
        <v>41.438868450000001</v>
      </c>
      <c r="H15" s="310">
        <f>+H24+(H20+H21)/2+H18/2</f>
        <v>42.909842112285411</v>
      </c>
      <c r="I15" s="310">
        <f>+I24+(I20+I21)/2+I18/2</f>
        <v>43.55</v>
      </c>
      <c r="J15" s="62">
        <f t="shared" ref="J15:L21" si="1">IF(OR(G15=0,F15=0),"",G15/F15-1)</f>
        <v>0.18736050514904323</v>
      </c>
      <c r="K15" s="63">
        <f t="shared" si="1"/>
        <v>3.5497437968420531E-2</v>
      </c>
      <c r="L15" s="64">
        <f t="shared" si="1"/>
        <v>1.4918672644831377E-2</v>
      </c>
      <c r="N15" s="225">
        <f>+N24+3.15+0.05</f>
        <v>12.930000000000001</v>
      </c>
      <c r="O15" s="226">
        <f>+O24+2.4+0.15</f>
        <v>12.56</v>
      </c>
      <c r="P15" s="226">
        <f>+P24+1.8+0.45</f>
        <v>12.14</v>
      </c>
      <c r="Q15" s="257">
        <v>12</v>
      </c>
      <c r="R15" s="62">
        <f t="shared" ref="R15:T21" si="2">IF(OR(O15=0,N15=0),"",O15/N15-1)</f>
        <v>-2.8615622583140099E-2</v>
      </c>
      <c r="S15" s="63">
        <f t="shared" si="2"/>
        <v>-3.3439490445859921E-2</v>
      </c>
      <c r="T15" s="64">
        <f t="shared" si="2"/>
        <v>-1.1532125205930832E-2</v>
      </c>
      <c r="V15" s="227">
        <f>+F15+N15</f>
        <v>47.829988899999996</v>
      </c>
      <c r="W15" s="228">
        <f t="shared" ref="W15:Y21" si="3">+G15+O15</f>
        <v>53.998868450000003</v>
      </c>
      <c r="X15" s="228">
        <f t="shared" si="3"/>
        <v>55.049842112285411</v>
      </c>
      <c r="Y15" s="229">
        <f t="shared" si="3"/>
        <v>55.55</v>
      </c>
      <c r="Z15" s="59">
        <f t="shared" ref="Z15:AB21" si="4">IF(OR(W15=0,V15=0),"",W15/V15-1)</f>
        <v>0.12897514074062455</v>
      </c>
      <c r="AA15" s="60">
        <f t="shared" si="4"/>
        <v>1.9462883065013648E-2</v>
      </c>
      <c r="AB15" s="61">
        <f t="shared" si="4"/>
        <v>9.0855462708578916E-3</v>
      </c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</row>
    <row r="16" spans="1:39" ht="24.75" customHeight="1" x14ac:dyDescent="0.25">
      <c r="A16" s="224"/>
      <c r="B16" s="224"/>
      <c r="C16" s="230" t="s">
        <v>2</v>
      </c>
      <c r="D16" s="230"/>
      <c r="E16" s="190"/>
      <c r="F16" s="214">
        <f>+F25+(F20+F21)/2-F18/2</f>
        <v>40.189988900000003</v>
      </c>
      <c r="G16" s="215">
        <f>+G25+(G20+G21)/2-G18/2</f>
        <v>40.878868450000006</v>
      </c>
      <c r="H16" s="311">
        <f>+H25+(H20+H21)/2-H18/2</f>
        <v>44.50799111228541</v>
      </c>
      <c r="I16" s="311">
        <f>+I25+(I20+I21)/2-I18/2</f>
        <v>43.45</v>
      </c>
      <c r="J16" s="65">
        <f t="shared" si="1"/>
        <v>1.7140575771594779E-2</v>
      </c>
      <c r="K16" s="66">
        <f t="shared" si="1"/>
        <v>8.8777473542944962E-2</v>
      </c>
      <c r="L16" s="67">
        <f t="shared" si="1"/>
        <v>-2.377081251805524E-2</v>
      </c>
      <c r="N16" s="231">
        <f>10.8+3.15+0.05</f>
        <v>14.000000000000002</v>
      </c>
      <c r="O16" s="232">
        <f>+O25+2.4+0.15</f>
        <v>14.740000000000002</v>
      </c>
      <c r="P16" s="232">
        <f>+P25+1.8+0.45</f>
        <v>13.25</v>
      </c>
      <c r="Q16" s="312">
        <v>15</v>
      </c>
      <c r="R16" s="65">
        <f t="shared" si="2"/>
        <v>5.2857142857142936E-2</v>
      </c>
      <c r="S16" s="66">
        <f t="shared" si="2"/>
        <v>-0.10108548168249676</v>
      </c>
      <c r="T16" s="67">
        <f t="shared" si="2"/>
        <v>0.13207547169811318</v>
      </c>
      <c r="V16" s="233">
        <f t="shared" ref="V16:V21" si="5">+F16+N16</f>
        <v>54.189988900000003</v>
      </c>
      <c r="W16" s="234">
        <f t="shared" si="3"/>
        <v>55.618868450000008</v>
      </c>
      <c r="X16" s="234">
        <f t="shared" si="3"/>
        <v>57.75799111228541</v>
      </c>
      <c r="Y16" s="235">
        <f t="shared" si="3"/>
        <v>58.45</v>
      </c>
      <c r="Z16" s="68">
        <f t="shared" si="4"/>
        <v>2.6367961666070805E-2</v>
      </c>
      <c r="AA16" s="69">
        <f t="shared" si="4"/>
        <v>3.8460377240655763E-2</v>
      </c>
      <c r="AB16" s="70">
        <f t="shared" si="4"/>
        <v>1.1981179995842917E-2</v>
      </c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</row>
    <row r="17" spans="1:39" ht="24.75" customHeight="1" x14ac:dyDescent="0.25">
      <c r="A17" s="224"/>
      <c r="B17" s="224"/>
      <c r="C17" s="236" t="s">
        <v>3</v>
      </c>
      <c r="D17" s="186"/>
      <c r="E17" s="190"/>
      <c r="F17" s="218">
        <f>+F15+F16</f>
        <v>75.0899778</v>
      </c>
      <c r="G17" s="219">
        <f>+G15+G16</f>
        <v>82.3177369</v>
      </c>
      <c r="H17" s="219">
        <f>+H15+H16</f>
        <v>87.417833224570813</v>
      </c>
      <c r="I17" s="237">
        <f>+I15+I16</f>
        <v>87</v>
      </c>
      <c r="J17" s="68">
        <f t="shared" si="1"/>
        <v>9.6254644251606125E-2</v>
      </c>
      <c r="K17" s="69">
        <f t="shared" si="1"/>
        <v>6.1956226162612316E-2</v>
      </c>
      <c r="L17" s="70">
        <f t="shared" si="1"/>
        <v>-4.7797252477926877E-3</v>
      </c>
      <c r="M17" s="191">
        <f>+M15+M16</f>
        <v>0</v>
      </c>
      <c r="N17" s="218">
        <f>+N15+N16</f>
        <v>26.930000000000003</v>
      </c>
      <c r="O17" s="219">
        <f>+O15+O16</f>
        <v>27.300000000000004</v>
      </c>
      <c r="P17" s="219">
        <f>+P15+P16</f>
        <v>25.39</v>
      </c>
      <c r="Q17" s="237">
        <f>+Q15+Q16</f>
        <v>27</v>
      </c>
      <c r="R17" s="68">
        <f t="shared" si="2"/>
        <v>1.3739324173783984E-2</v>
      </c>
      <c r="S17" s="69">
        <f t="shared" si="2"/>
        <v>-6.9963369963370048E-2</v>
      </c>
      <c r="T17" s="70">
        <f t="shared" si="2"/>
        <v>6.3410791650255982E-2</v>
      </c>
      <c r="U17" s="191"/>
      <c r="V17" s="218">
        <f>+V15+V16</f>
        <v>102.01997779999999</v>
      </c>
      <c r="W17" s="219">
        <f>+W15+W16</f>
        <v>109.61773690000001</v>
      </c>
      <c r="X17" s="219">
        <f>+X15+X16</f>
        <v>112.80783322457083</v>
      </c>
      <c r="Y17" s="237">
        <f>+Y15+Y16</f>
        <v>114</v>
      </c>
      <c r="Z17" s="68">
        <f t="shared" si="4"/>
        <v>7.4473247924976782E-2</v>
      </c>
      <c r="AA17" s="69">
        <f t="shared" si="4"/>
        <v>2.9102008623668407E-2</v>
      </c>
      <c r="AB17" s="70">
        <f t="shared" si="4"/>
        <v>1.0568120505035195E-2</v>
      </c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</row>
    <row r="18" spans="1:39" ht="24.75" customHeight="1" x14ac:dyDescent="0.25">
      <c r="A18" s="190"/>
      <c r="B18" s="224"/>
      <c r="C18" s="213" t="s">
        <v>9</v>
      </c>
      <c r="D18" s="238" t="s">
        <v>39</v>
      </c>
      <c r="E18" s="190"/>
      <c r="F18" s="214">
        <v>0.80956974999999998</v>
      </c>
      <c r="G18" s="215">
        <v>0.53249115000000002</v>
      </c>
      <c r="H18" s="215">
        <v>8.1850999999999993E-2</v>
      </c>
      <c r="I18" s="309">
        <v>0.1</v>
      </c>
      <c r="J18" s="59">
        <f t="shared" si="1"/>
        <v>-0.34225414178333613</v>
      </c>
      <c r="K18" s="60">
        <f t="shared" si="1"/>
        <v>-0.84628664720531033</v>
      </c>
      <c r="L18" s="61">
        <f t="shared" si="1"/>
        <v>0.22173217187328209</v>
      </c>
      <c r="N18" s="214">
        <v>1.2889800000000002E-2</v>
      </c>
      <c r="O18" s="215">
        <v>3.87915E-3</v>
      </c>
      <c r="P18" s="215">
        <v>0</v>
      </c>
      <c r="Q18" s="309"/>
      <c r="R18" s="59">
        <f t="shared" si="2"/>
        <v>-0.69905273937532009</v>
      </c>
      <c r="S18" s="60" t="str">
        <f t="shared" si="2"/>
        <v/>
      </c>
      <c r="T18" s="61" t="str">
        <f t="shared" si="2"/>
        <v/>
      </c>
      <c r="V18" s="246">
        <f t="shared" si="5"/>
        <v>0.82245954999999993</v>
      </c>
      <c r="W18" s="247">
        <f t="shared" si="3"/>
        <v>0.53637030000000008</v>
      </c>
      <c r="X18" s="247">
        <f t="shared" si="3"/>
        <v>8.1850999999999993E-2</v>
      </c>
      <c r="Y18" s="248">
        <f t="shared" si="3"/>
        <v>0.1</v>
      </c>
      <c r="Z18" s="59">
        <f t="shared" si="4"/>
        <v>-0.3478459822127421</v>
      </c>
      <c r="AA18" s="60">
        <f t="shared" si="4"/>
        <v>-0.84739833655964925</v>
      </c>
      <c r="AB18" s="61">
        <f t="shared" si="4"/>
        <v>0.22173217187328209</v>
      </c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</row>
    <row r="19" spans="1:39" ht="24.75" customHeight="1" x14ac:dyDescent="0.25">
      <c r="A19" s="190"/>
      <c r="B19" s="224"/>
      <c r="C19" s="250"/>
      <c r="D19" s="238" t="s">
        <v>40</v>
      </c>
      <c r="E19" s="190"/>
      <c r="F19" s="258"/>
      <c r="G19" s="259"/>
      <c r="H19" s="259"/>
      <c r="I19" s="260"/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258"/>
      <c r="O19" s="259"/>
      <c r="P19" s="259"/>
      <c r="Q19" s="260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254">
        <f t="shared" si="5"/>
        <v>0</v>
      </c>
      <c r="W19" s="255">
        <f t="shared" si="3"/>
        <v>0</v>
      </c>
      <c r="X19" s="255">
        <f t="shared" si="3"/>
        <v>0</v>
      </c>
      <c r="Y19" s="256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</row>
    <row r="20" spans="1:39" ht="24.75" customHeight="1" x14ac:dyDescent="0.25">
      <c r="A20" s="190"/>
      <c r="B20" s="224"/>
      <c r="C20" s="213" t="s">
        <v>10</v>
      </c>
      <c r="D20" s="238" t="s">
        <v>39</v>
      </c>
      <c r="E20" s="190"/>
      <c r="F20" s="214">
        <v>6.1008667499999998</v>
      </c>
      <c r="G20" s="215">
        <v>5.2399649500000001</v>
      </c>
      <c r="H20" s="215">
        <v>4.2189016164323432</v>
      </c>
      <c r="I20" s="309">
        <v>4</v>
      </c>
      <c r="J20" s="59">
        <f t="shared" si="1"/>
        <v>-0.14111139208211676</v>
      </c>
      <c r="K20" s="60">
        <f t="shared" si="1"/>
        <v>-0.19486071821294471</v>
      </c>
      <c r="L20" s="61">
        <f t="shared" si="1"/>
        <v>-5.1885925848504266E-2</v>
      </c>
      <c r="N20" s="214">
        <v>6.2815923500000004</v>
      </c>
      <c r="O20" s="215">
        <v>4.7652984500000013</v>
      </c>
      <c r="P20" s="215">
        <v>3.6232923091353415</v>
      </c>
      <c r="Q20" s="309">
        <v>3</v>
      </c>
      <c r="R20" s="59">
        <f t="shared" si="2"/>
        <v>-0.24138686745566973</v>
      </c>
      <c r="S20" s="60">
        <f t="shared" si="2"/>
        <v>-0.2396504967836085</v>
      </c>
      <c r="T20" s="61">
        <f t="shared" si="2"/>
        <v>-0.17202374414116295</v>
      </c>
      <c r="V20" s="246">
        <f t="shared" si="5"/>
        <v>12.3824591</v>
      </c>
      <c r="W20" s="247">
        <f t="shared" si="3"/>
        <v>10.0052634</v>
      </c>
      <c r="X20" s="247">
        <f t="shared" si="3"/>
        <v>7.8421939255676847</v>
      </c>
      <c r="Y20" s="248">
        <f t="shared" si="3"/>
        <v>7</v>
      </c>
      <c r="Z20" s="59">
        <f t="shared" si="4"/>
        <v>-0.19198090466537454</v>
      </c>
      <c r="AA20" s="60">
        <f t="shared" si="4"/>
        <v>-0.21619315633732494</v>
      </c>
      <c r="AB20" s="61">
        <f t="shared" si="4"/>
        <v>-0.10739264210515165</v>
      </c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</row>
    <row r="21" spans="1:39" ht="24.75" customHeight="1" x14ac:dyDescent="0.25">
      <c r="A21" s="190"/>
      <c r="B21" s="224"/>
      <c r="C21" s="213"/>
      <c r="D21" s="238" t="s">
        <v>40</v>
      </c>
      <c r="E21" s="190"/>
      <c r="F21" s="258">
        <v>1.7286808</v>
      </c>
      <c r="G21" s="259">
        <v>8.7102631000000024</v>
      </c>
      <c r="H21" s="259">
        <v>14.878931608138473</v>
      </c>
      <c r="I21" s="260">
        <v>15</v>
      </c>
      <c r="J21" s="68">
        <f t="shared" si="1"/>
        <v>4.0386763710223441</v>
      </c>
      <c r="K21" s="69">
        <f t="shared" si="1"/>
        <v>0.7082069091734402</v>
      </c>
      <c r="L21" s="70">
        <f t="shared" si="1"/>
        <v>8.1369008911436058E-3</v>
      </c>
      <c r="N21" s="258">
        <v>5.4703000000000009E-2</v>
      </c>
      <c r="O21" s="259">
        <v>0.33613799999999999</v>
      </c>
      <c r="P21" s="259">
        <v>0.87592835000000013</v>
      </c>
      <c r="Q21" s="260">
        <v>1</v>
      </c>
      <c r="R21" s="68">
        <f t="shared" si="2"/>
        <v>5.144781821837924</v>
      </c>
      <c r="S21" s="69">
        <f t="shared" si="2"/>
        <v>1.6058593494338638</v>
      </c>
      <c r="T21" s="70">
        <f t="shared" si="2"/>
        <v>0.14164588918716903</v>
      </c>
      <c r="V21" s="254">
        <f t="shared" si="5"/>
        <v>1.7833838</v>
      </c>
      <c r="W21" s="255">
        <f t="shared" si="3"/>
        <v>9.0464011000000024</v>
      </c>
      <c r="X21" s="255">
        <f t="shared" si="3"/>
        <v>15.754859958138473</v>
      </c>
      <c r="Y21" s="256">
        <f t="shared" si="3"/>
        <v>16</v>
      </c>
      <c r="Z21" s="68">
        <f t="shared" si="4"/>
        <v>4.0726047304007151</v>
      </c>
      <c r="AA21" s="69">
        <f t="shared" si="4"/>
        <v>0.74156106765357421</v>
      </c>
      <c r="AB21" s="70">
        <f t="shared" si="4"/>
        <v>1.5559645881517037E-2</v>
      </c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</row>
    <row r="22" spans="1:39" ht="24.75" customHeight="1" x14ac:dyDescent="0.25">
      <c r="A22" s="192" t="s">
        <v>14</v>
      </c>
      <c r="B22" s="193"/>
      <c r="C22" s="194"/>
      <c r="D22" s="194"/>
      <c r="E22" s="193"/>
      <c r="F22" s="398">
        <f>$F$7</f>
        <v>2015</v>
      </c>
      <c r="G22" s="393">
        <f>+F22+1</f>
        <v>2016</v>
      </c>
      <c r="H22" s="393">
        <f>+G22+1</f>
        <v>2017</v>
      </c>
      <c r="I22" s="395">
        <f>+H22+1</f>
        <v>2018</v>
      </c>
      <c r="J22" s="197"/>
      <c r="K22" s="198" t="s">
        <v>11</v>
      </c>
      <c r="L22" s="199"/>
      <c r="M22" s="221"/>
      <c r="N22" s="398">
        <f>$F$7</f>
        <v>2015</v>
      </c>
      <c r="O22" s="393">
        <f>+N22+1</f>
        <v>2016</v>
      </c>
      <c r="P22" s="393">
        <f>+O22+1</f>
        <v>2017</v>
      </c>
      <c r="Q22" s="395">
        <f>+P22+1</f>
        <v>2018</v>
      </c>
      <c r="R22" s="197"/>
      <c r="S22" s="198" t="s">
        <v>11</v>
      </c>
      <c r="T22" s="199"/>
      <c r="U22" s="221"/>
      <c r="V22" s="398">
        <f>$F$7</f>
        <v>2015</v>
      </c>
      <c r="W22" s="393">
        <f>+V22+1</f>
        <v>2016</v>
      </c>
      <c r="X22" s="393">
        <f>+W22+1</f>
        <v>2017</v>
      </c>
      <c r="Y22" s="395">
        <f>+X22+1</f>
        <v>2018</v>
      </c>
      <c r="Z22" s="197"/>
      <c r="AA22" s="198" t="s">
        <v>11</v>
      </c>
      <c r="AB22" s="199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</row>
    <row r="23" spans="1:39" ht="24.75" customHeight="1" x14ac:dyDescent="0.25">
      <c r="A23" s="204"/>
      <c r="B23" s="193"/>
      <c r="C23" s="194"/>
      <c r="D23" s="223" t="s">
        <v>26</v>
      </c>
      <c r="E23" s="193"/>
      <c r="F23" s="399"/>
      <c r="G23" s="394"/>
      <c r="H23" s="394"/>
      <c r="I23" s="396"/>
      <c r="J23" s="206" t="str">
        <f>G22&amp;"/"&amp;RIGHT(F22,2)</f>
        <v>2016/15</v>
      </c>
      <c r="K23" s="207" t="str">
        <f>H22&amp;"/"&amp;RIGHT(G22,2)</f>
        <v>2017/16</v>
      </c>
      <c r="L23" s="208" t="str">
        <f>I22&amp;"/"&amp;RIGHT(H22,2)</f>
        <v>2018/17</v>
      </c>
      <c r="M23" s="221"/>
      <c r="N23" s="399"/>
      <c r="O23" s="394"/>
      <c r="P23" s="394"/>
      <c r="Q23" s="396"/>
      <c r="R23" s="206" t="str">
        <f>O22&amp;"/"&amp;RIGHT(N22,2)</f>
        <v>2016/15</v>
      </c>
      <c r="S23" s="207" t="str">
        <f>P22&amp;"/"&amp;RIGHT(O22,2)</f>
        <v>2017/16</v>
      </c>
      <c r="T23" s="208" t="str">
        <f>Q22&amp;"/"&amp;RIGHT(P22,2)</f>
        <v>2018/17</v>
      </c>
      <c r="U23" s="221"/>
      <c r="V23" s="399"/>
      <c r="W23" s="394"/>
      <c r="X23" s="394"/>
      <c r="Y23" s="396"/>
      <c r="Z23" s="206" t="str">
        <f>W22&amp;"/"&amp;RIGHT(V22,2)</f>
        <v>2016/15</v>
      </c>
      <c r="AA23" s="207" t="str">
        <f>X22&amp;"/"&amp;RIGHT(W22,2)</f>
        <v>2017/16</v>
      </c>
      <c r="AB23" s="208" t="str">
        <f>Y22&amp;"/"&amp;RIGHT(X22,2)</f>
        <v>2018/17</v>
      </c>
      <c r="AC23" s="186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</row>
    <row r="24" spans="1:39" ht="24.75" customHeight="1" x14ac:dyDescent="0.25">
      <c r="A24" s="224"/>
      <c r="B24" s="224"/>
      <c r="C24" s="186" t="s">
        <v>1</v>
      </c>
      <c r="D24" s="186"/>
      <c r="E24" s="190"/>
      <c r="F24" s="225">
        <v>31.389999999999997</v>
      </c>
      <c r="G24" s="226">
        <v>34.729999999999997</v>
      </c>
      <c r="H24" s="226">
        <v>33.32</v>
      </c>
      <c r="I24" s="257">
        <v>34</v>
      </c>
      <c r="J24" s="59">
        <f t="shared" ref="J24:L30" si="6">IF(OR(G24=0,F24=0),"",G24/F24-1)</f>
        <v>0.10640331315705631</v>
      </c>
      <c r="K24" s="60">
        <f t="shared" si="6"/>
        <v>-4.0598905845090627E-2</v>
      </c>
      <c r="L24" s="61">
        <f t="shared" si="6"/>
        <v>2.0408163265306145E-2</v>
      </c>
      <c r="N24" s="225">
        <v>9.73</v>
      </c>
      <c r="O24" s="226">
        <v>10.01</v>
      </c>
      <c r="P24" s="226">
        <v>9.89</v>
      </c>
      <c r="Q24" s="257">
        <v>10</v>
      </c>
      <c r="R24" s="59">
        <f t="shared" ref="R24:T30" si="7">IF(OR(O24=0,N24=0),"",O24/N24-1)</f>
        <v>2.877697841726623E-2</v>
      </c>
      <c r="S24" s="60">
        <f t="shared" si="7"/>
        <v>-1.1988011988011915E-2</v>
      </c>
      <c r="T24" s="61">
        <f t="shared" si="7"/>
        <v>1.1122345803842304E-2</v>
      </c>
      <c r="V24" s="227">
        <f t="shared" ref="V24:Y25" si="8">+F24+N24</f>
        <v>41.12</v>
      </c>
      <c r="W24" s="228">
        <f t="shared" si="8"/>
        <v>44.739999999999995</v>
      </c>
      <c r="X24" s="228">
        <f t="shared" si="8"/>
        <v>43.21</v>
      </c>
      <c r="Y24" s="228">
        <f t="shared" si="8"/>
        <v>44</v>
      </c>
      <c r="Z24" s="59">
        <f t="shared" ref="Z24:AB30" si="9">IF(OR(W24=0,V24=0),"",W24/V24-1)</f>
        <v>8.8035019455252828E-2</v>
      </c>
      <c r="AA24" s="60">
        <f t="shared" si="9"/>
        <v>-3.419758605274914E-2</v>
      </c>
      <c r="AB24" s="61">
        <f t="shared" si="9"/>
        <v>1.8282804906271766E-2</v>
      </c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</row>
    <row r="25" spans="1:39" ht="24.75" customHeight="1" x14ac:dyDescent="0.25">
      <c r="A25" s="224"/>
      <c r="B25" s="224"/>
      <c r="C25" s="230" t="s">
        <v>2</v>
      </c>
      <c r="D25" s="230"/>
      <c r="E25" s="190"/>
      <c r="F25" s="231">
        <v>36.68</v>
      </c>
      <c r="G25" s="232">
        <v>34.17</v>
      </c>
      <c r="H25" s="232">
        <v>35</v>
      </c>
      <c r="I25" s="312">
        <v>34</v>
      </c>
      <c r="J25" s="68">
        <f t="shared" si="6"/>
        <v>-6.8429661941112219E-2</v>
      </c>
      <c r="K25" s="69">
        <f t="shared" si="6"/>
        <v>2.4290313140181485E-2</v>
      </c>
      <c r="L25" s="70">
        <f t="shared" si="6"/>
        <v>-2.8571428571428581E-2</v>
      </c>
      <c r="N25" s="231">
        <v>10.81</v>
      </c>
      <c r="O25" s="232">
        <v>12.190000000000001</v>
      </c>
      <c r="P25" s="232">
        <v>11</v>
      </c>
      <c r="Q25" s="312">
        <v>12.5</v>
      </c>
      <c r="R25" s="68">
        <f t="shared" si="7"/>
        <v>0.12765957446808507</v>
      </c>
      <c r="S25" s="69">
        <f t="shared" si="7"/>
        <v>-9.7621000820344639E-2</v>
      </c>
      <c r="T25" s="70">
        <f t="shared" si="7"/>
        <v>0.13636363636363646</v>
      </c>
      <c r="V25" s="233">
        <f t="shared" si="8"/>
        <v>47.49</v>
      </c>
      <c r="W25" s="234">
        <f t="shared" si="8"/>
        <v>46.36</v>
      </c>
      <c r="X25" s="234">
        <f t="shared" si="8"/>
        <v>46</v>
      </c>
      <c r="Y25" s="234">
        <f t="shared" si="8"/>
        <v>46.5</v>
      </c>
      <c r="Z25" s="68">
        <f t="shared" si="9"/>
        <v>-2.3794483049063064E-2</v>
      </c>
      <c r="AA25" s="69">
        <f t="shared" si="9"/>
        <v>-7.7653149266608823E-3</v>
      </c>
      <c r="AB25" s="70">
        <f t="shared" si="9"/>
        <v>1.0869565217391353E-2</v>
      </c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</row>
    <row r="26" spans="1:39" ht="24.75" customHeight="1" x14ac:dyDescent="0.25">
      <c r="A26" s="224"/>
      <c r="B26" s="224"/>
      <c r="C26" s="236" t="s">
        <v>3</v>
      </c>
      <c r="D26" s="186"/>
      <c r="E26" s="190"/>
      <c r="F26" s="218">
        <f>+F24+F25</f>
        <v>68.069999999999993</v>
      </c>
      <c r="G26" s="219">
        <f>+G24+G25</f>
        <v>68.900000000000006</v>
      </c>
      <c r="H26" s="219">
        <f>+H24+H25</f>
        <v>68.319999999999993</v>
      </c>
      <c r="I26" s="237">
        <f>+I24+I25</f>
        <v>68</v>
      </c>
      <c r="J26" s="68">
        <f t="shared" si="6"/>
        <v>1.2193330395181556E-2</v>
      </c>
      <c r="K26" s="69">
        <f t="shared" si="6"/>
        <v>-8.4179970972425577E-3</v>
      </c>
      <c r="L26" s="70">
        <f t="shared" si="6"/>
        <v>-4.6838407494144141E-3</v>
      </c>
      <c r="M26" s="191"/>
      <c r="N26" s="218">
        <f>+N24+N25</f>
        <v>20.54</v>
      </c>
      <c r="O26" s="219">
        <f>+O24+O25</f>
        <v>22.200000000000003</v>
      </c>
      <c r="P26" s="219">
        <f>+P24+P25</f>
        <v>20.89</v>
      </c>
      <c r="Q26" s="237">
        <f>+Q24+Q25</f>
        <v>22.5</v>
      </c>
      <c r="R26" s="68">
        <f t="shared" si="7"/>
        <v>8.0817916260954359E-2</v>
      </c>
      <c r="S26" s="69">
        <f t="shared" si="7"/>
        <v>-5.9009009009009072E-2</v>
      </c>
      <c r="T26" s="70">
        <f t="shared" si="7"/>
        <v>7.7070368597415007E-2</v>
      </c>
      <c r="U26" s="191"/>
      <c r="V26" s="218">
        <f>+V24+V25</f>
        <v>88.61</v>
      </c>
      <c r="W26" s="219">
        <f>+W24+W25</f>
        <v>91.1</v>
      </c>
      <c r="X26" s="219">
        <f>+X24+X25</f>
        <v>89.210000000000008</v>
      </c>
      <c r="Y26" s="237">
        <f>+Y24+Y25</f>
        <v>90.5</v>
      </c>
      <c r="Z26" s="68">
        <f t="shared" si="9"/>
        <v>2.8100665839070116E-2</v>
      </c>
      <c r="AA26" s="69">
        <f t="shared" si="9"/>
        <v>-2.0746432491767108E-2</v>
      </c>
      <c r="AB26" s="70">
        <f t="shared" si="9"/>
        <v>1.4460262302432358E-2</v>
      </c>
      <c r="AD26" s="181"/>
      <c r="AE26" s="181"/>
      <c r="AF26" s="181"/>
      <c r="AG26" s="181"/>
      <c r="AH26" s="181"/>
      <c r="AI26" s="181"/>
      <c r="AJ26" s="181"/>
      <c r="AK26" s="181"/>
      <c r="AL26" s="181"/>
      <c r="AM26" s="181"/>
    </row>
    <row r="27" spans="1:39" ht="24.75" customHeight="1" x14ac:dyDescent="0.25">
      <c r="A27" s="190"/>
      <c r="B27" s="224"/>
      <c r="C27" s="213" t="s">
        <v>4</v>
      </c>
      <c r="D27" s="238" t="s">
        <v>39</v>
      </c>
      <c r="E27" s="190"/>
      <c r="F27" s="214"/>
      <c r="G27" s="215"/>
      <c r="H27" s="215"/>
      <c r="I27" s="309"/>
      <c r="J27" s="59" t="str">
        <f t="shared" si="6"/>
        <v/>
      </c>
      <c r="K27" s="60" t="str">
        <f t="shared" si="6"/>
        <v/>
      </c>
      <c r="L27" s="61" t="str">
        <f t="shared" si="6"/>
        <v/>
      </c>
      <c r="N27" s="214"/>
      <c r="O27" s="215"/>
      <c r="P27" s="215"/>
      <c r="Q27" s="309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U27" s="313"/>
      <c r="V27" s="314">
        <v>90.873307999999994</v>
      </c>
      <c r="W27" s="315">
        <v>94.024141</v>
      </c>
      <c r="X27" s="228">
        <v>98.948370780338237</v>
      </c>
      <c r="Y27" s="316">
        <v>96</v>
      </c>
      <c r="Z27" s="59">
        <f t="shared" si="9"/>
        <v>3.4672810634339468E-2</v>
      </c>
      <c r="AA27" s="60">
        <f t="shared" si="9"/>
        <v>5.2371973069535782E-2</v>
      </c>
      <c r="AB27" s="61">
        <f t="shared" si="9"/>
        <v>-2.9797062418374876E-2</v>
      </c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</row>
    <row r="28" spans="1:39" ht="24.75" customHeight="1" x14ac:dyDescent="0.25">
      <c r="A28" s="190"/>
      <c r="B28" s="224"/>
      <c r="C28" s="213"/>
      <c r="D28" s="238" t="s">
        <v>40</v>
      </c>
      <c r="E28" s="190"/>
      <c r="F28" s="258"/>
      <c r="G28" s="259"/>
      <c r="H28" s="259"/>
      <c r="I28" s="260"/>
      <c r="J28" s="68" t="str">
        <f t="shared" si="6"/>
        <v/>
      </c>
      <c r="K28" s="69" t="str">
        <f t="shared" si="6"/>
        <v/>
      </c>
      <c r="L28" s="70" t="str">
        <f t="shared" si="6"/>
        <v/>
      </c>
      <c r="N28" s="258"/>
      <c r="O28" s="259"/>
      <c r="P28" s="259"/>
      <c r="Q28" s="260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254">
        <v>1.5745119999999999</v>
      </c>
      <c r="W28" s="317">
        <v>1.6963090000000001</v>
      </c>
      <c r="X28" s="317">
        <v>1.4828166733969665</v>
      </c>
      <c r="Y28" s="256">
        <v>2</v>
      </c>
      <c r="Z28" s="68">
        <f t="shared" si="9"/>
        <v>7.7355396465698778E-2</v>
      </c>
      <c r="AA28" s="69">
        <f t="shared" si="9"/>
        <v>-0.12585697924318828</v>
      </c>
      <c r="AB28" s="70">
        <f t="shared" si="9"/>
        <v>0.34878440193029703</v>
      </c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</row>
    <row r="29" spans="1:39" ht="24.75" customHeight="1" x14ac:dyDescent="0.25">
      <c r="A29" s="190"/>
      <c r="B29" s="224"/>
      <c r="C29" s="213" t="s">
        <v>5</v>
      </c>
      <c r="D29" s="238" t="s">
        <v>39</v>
      </c>
      <c r="E29" s="190"/>
      <c r="F29" s="214"/>
      <c r="G29" s="215"/>
      <c r="H29" s="215"/>
      <c r="I29" s="309"/>
      <c r="J29" s="59" t="str">
        <f t="shared" si="6"/>
        <v/>
      </c>
      <c r="K29" s="60" t="str">
        <f t="shared" si="6"/>
        <v/>
      </c>
      <c r="L29" s="61" t="str">
        <f t="shared" si="6"/>
        <v/>
      </c>
      <c r="N29" s="214"/>
      <c r="O29" s="215"/>
      <c r="P29" s="215"/>
      <c r="Q29" s="309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246">
        <v>8.6601529999999993</v>
      </c>
      <c r="W29" s="247">
        <v>9.7096630000000008</v>
      </c>
      <c r="X29" s="247">
        <v>11.987320012396163</v>
      </c>
      <c r="Y29" s="248">
        <v>10</v>
      </c>
      <c r="Z29" s="59">
        <f t="shared" si="9"/>
        <v>0.12118839008964399</v>
      </c>
      <c r="AA29" s="60">
        <f t="shared" si="9"/>
        <v>0.2345763197338735</v>
      </c>
      <c r="AB29" s="61">
        <f t="shared" si="9"/>
        <v>-0.16578518053585478</v>
      </c>
      <c r="AD29" s="181"/>
      <c r="AE29" s="181"/>
      <c r="AF29" s="181"/>
      <c r="AG29" s="181"/>
      <c r="AH29" s="181"/>
      <c r="AI29" s="181"/>
      <c r="AJ29" s="181"/>
      <c r="AK29" s="181"/>
      <c r="AL29" s="181"/>
      <c r="AM29" s="181"/>
    </row>
    <row r="30" spans="1:39" ht="24.75" customHeight="1" x14ac:dyDescent="0.25">
      <c r="A30" s="261"/>
      <c r="B30" s="224"/>
      <c r="C30" s="213"/>
      <c r="D30" s="238" t="s">
        <v>40</v>
      </c>
      <c r="E30" s="190"/>
      <c r="F30" s="258"/>
      <c r="G30" s="259"/>
      <c r="H30" s="259"/>
      <c r="I30" s="260"/>
      <c r="J30" s="68" t="str">
        <f t="shared" si="6"/>
        <v/>
      </c>
      <c r="K30" s="69" t="str">
        <f t="shared" si="6"/>
        <v/>
      </c>
      <c r="L30" s="70" t="str">
        <f t="shared" si="6"/>
        <v/>
      </c>
      <c r="N30" s="258"/>
      <c r="O30" s="259"/>
      <c r="P30" s="259"/>
      <c r="Q30" s="260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254">
        <v>0.94082500000000002</v>
      </c>
      <c r="W30" s="255">
        <v>0.87303699999999995</v>
      </c>
      <c r="X30" s="255">
        <v>1.2219545611295282</v>
      </c>
      <c r="Y30" s="256">
        <v>1</v>
      </c>
      <c r="Z30" s="65">
        <f t="shared" si="9"/>
        <v>-7.2051656790582785E-2</v>
      </c>
      <c r="AA30" s="66">
        <f t="shared" si="9"/>
        <v>0.39965953462399439</v>
      </c>
      <c r="AB30" s="67">
        <f t="shared" si="9"/>
        <v>-0.1816389644835581</v>
      </c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</row>
    <row r="31" spans="1:39" ht="24.75" customHeight="1" x14ac:dyDescent="0.25">
      <c r="A31" s="192" t="s">
        <v>17</v>
      </c>
      <c r="B31" s="193"/>
      <c r="C31" s="194"/>
      <c r="D31" s="194"/>
      <c r="E31" s="193"/>
      <c r="F31" s="398">
        <f>$F$7</f>
        <v>2015</v>
      </c>
      <c r="G31" s="393">
        <f>+F31+1</f>
        <v>2016</v>
      </c>
      <c r="H31" s="393">
        <f>+G31+1</f>
        <v>2017</v>
      </c>
      <c r="I31" s="395">
        <f>+H31+1</f>
        <v>2018</v>
      </c>
      <c r="J31" s="197"/>
      <c r="K31" s="198" t="s">
        <v>11</v>
      </c>
      <c r="L31" s="199"/>
      <c r="M31" s="221"/>
      <c r="N31" s="398">
        <f>$F$7</f>
        <v>2015</v>
      </c>
      <c r="O31" s="393">
        <f>+N31+1</f>
        <v>2016</v>
      </c>
      <c r="P31" s="393">
        <f>+O31+1</f>
        <v>2017</v>
      </c>
      <c r="Q31" s="395">
        <f>+P31+1</f>
        <v>2018</v>
      </c>
      <c r="R31" s="197"/>
      <c r="S31" s="198" t="s">
        <v>11</v>
      </c>
      <c r="T31" s="199"/>
      <c r="U31" s="221"/>
      <c r="V31" s="398">
        <f>$F$7</f>
        <v>2015</v>
      </c>
      <c r="W31" s="393">
        <f>+V31+1</f>
        <v>2016</v>
      </c>
      <c r="X31" s="393">
        <f>+W31+1</f>
        <v>2017</v>
      </c>
      <c r="Y31" s="395">
        <f>+X31+1</f>
        <v>2018</v>
      </c>
      <c r="Z31" s="197"/>
      <c r="AA31" s="198" t="s">
        <v>11</v>
      </c>
      <c r="AB31" s="199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</row>
    <row r="32" spans="1:39" ht="24.75" customHeight="1" x14ac:dyDescent="0.25">
      <c r="A32" s="204"/>
      <c r="B32" s="193"/>
      <c r="C32" s="194"/>
      <c r="D32" s="194"/>
      <c r="E32" s="193"/>
      <c r="F32" s="399"/>
      <c r="G32" s="394"/>
      <c r="H32" s="394"/>
      <c r="I32" s="396"/>
      <c r="J32" s="206" t="str">
        <f>G31&amp;"/"&amp;RIGHT(F31,2)</f>
        <v>2016/15</v>
      </c>
      <c r="K32" s="207" t="str">
        <f>H31&amp;"/"&amp;RIGHT(G31,2)</f>
        <v>2017/16</v>
      </c>
      <c r="L32" s="208" t="str">
        <f>I31&amp;"/"&amp;RIGHT(H31,2)</f>
        <v>2018/17</v>
      </c>
      <c r="M32" s="221"/>
      <c r="N32" s="399"/>
      <c r="O32" s="394"/>
      <c r="P32" s="394"/>
      <c r="Q32" s="396"/>
      <c r="R32" s="206" t="str">
        <f>O31&amp;"/"&amp;RIGHT(N31,2)</f>
        <v>2016/15</v>
      </c>
      <c r="S32" s="207" t="str">
        <f>P31&amp;"/"&amp;RIGHT(O31,2)</f>
        <v>2017/16</v>
      </c>
      <c r="T32" s="208" t="str">
        <f>Q31&amp;"/"&amp;RIGHT(P31,2)</f>
        <v>2018/17</v>
      </c>
      <c r="U32" s="221"/>
      <c r="V32" s="399"/>
      <c r="W32" s="394"/>
      <c r="X32" s="394"/>
      <c r="Y32" s="396"/>
      <c r="Z32" s="206" t="str">
        <f>W31&amp;"/"&amp;RIGHT(V31,2)</f>
        <v>2016/15</v>
      </c>
      <c r="AA32" s="207" t="str">
        <f>X31&amp;"/"&amp;RIGHT(W31,2)</f>
        <v>2017/16</v>
      </c>
      <c r="AB32" s="208" t="str">
        <f>Y31&amp;"/"&amp;RIGHT(X31,2)</f>
        <v>2018/17</v>
      </c>
      <c r="AC32" s="190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</row>
    <row r="33" spans="1:39" ht="24.75" customHeight="1" x14ac:dyDescent="0.25">
      <c r="A33" s="224"/>
      <c r="B33" s="190"/>
      <c r="C33" s="186" t="s">
        <v>1</v>
      </c>
      <c r="D33" s="186"/>
      <c r="E33" s="190"/>
      <c r="F33" s="225"/>
      <c r="G33" s="226"/>
      <c r="H33" s="226"/>
      <c r="I33" s="257"/>
      <c r="J33" s="62" t="str">
        <f t="shared" ref="J33:L36" si="10">IF(OR(G33=0,F33=0),"",G33/F33-1)</f>
        <v/>
      </c>
      <c r="K33" s="63" t="str">
        <f t="shared" si="10"/>
        <v/>
      </c>
      <c r="L33" s="64" t="str">
        <f t="shared" si="10"/>
        <v/>
      </c>
      <c r="N33" s="225"/>
      <c r="O33" s="226"/>
      <c r="P33" s="226"/>
      <c r="Q33" s="257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227">
        <f t="shared" ref="V33:Y34" si="12">+F33+N33</f>
        <v>0</v>
      </c>
      <c r="W33" s="228">
        <f t="shared" si="12"/>
        <v>0</v>
      </c>
      <c r="X33" s="228">
        <f>+H33+P33</f>
        <v>0</v>
      </c>
      <c r="Y33" s="229">
        <f t="shared" si="12"/>
        <v>0</v>
      </c>
      <c r="Z33" s="62" t="str">
        <f t="shared" ref="Z33:AB36" si="13">IF(OR(W33=0,V33=0),"",W33/V33-1)</f>
        <v/>
      </c>
      <c r="AA33" s="63" t="str">
        <f t="shared" si="13"/>
        <v/>
      </c>
      <c r="AB33" s="64" t="str">
        <f t="shared" si="13"/>
        <v/>
      </c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</row>
    <row r="34" spans="1:39" ht="24.75" customHeight="1" x14ac:dyDescent="0.25">
      <c r="A34" s="224"/>
      <c r="B34" s="190"/>
      <c r="C34" s="230" t="s">
        <v>2</v>
      </c>
      <c r="D34" s="230"/>
      <c r="E34" s="190"/>
      <c r="F34" s="231"/>
      <c r="G34" s="232"/>
      <c r="H34" s="232"/>
      <c r="I34" s="312"/>
      <c r="J34" s="65" t="str">
        <f t="shared" si="10"/>
        <v/>
      </c>
      <c r="K34" s="66" t="str">
        <f t="shared" si="10"/>
        <v/>
      </c>
      <c r="L34" s="67" t="str">
        <f t="shared" si="10"/>
        <v/>
      </c>
      <c r="N34" s="231"/>
      <c r="O34" s="232"/>
      <c r="P34" s="232"/>
      <c r="Q34" s="312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233">
        <f t="shared" si="12"/>
        <v>0</v>
      </c>
      <c r="W34" s="234">
        <f t="shared" si="12"/>
        <v>0</v>
      </c>
      <c r="X34" s="234">
        <f t="shared" si="12"/>
        <v>0</v>
      </c>
      <c r="Y34" s="235">
        <f t="shared" si="12"/>
        <v>0</v>
      </c>
      <c r="Z34" s="65" t="str">
        <f t="shared" si="13"/>
        <v/>
      </c>
      <c r="AA34" s="66" t="str">
        <f t="shared" si="13"/>
        <v/>
      </c>
      <c r="AB34" s="67" t="str">
        <f t="shared" si="13"/>
        <v/>
      </c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</row>
    <row r="35" spans="1:39" ht="24.75" customHeight="1" x14ac:dyDescent="0.25">
      <c r="A35" s="224"/>
      <c r="B35" s="190"/>
      <c r="C35" s="236" t="s">
        <v>3</v>
      </c>
      <c r="D35" s="186"/>
      <c r="E35" s="190"/>
      <c r="F35" s="218">
        <f>+F33+F34</f>
        <v>0</v>
      </c>
      <c r="G35" s="219">
        <f>+G33+G34</f>
        <v>0</v>
      </c>
      <c r="H35" s="219">
        <f>+H33+H34</f>
        <v>0</v>
      </c>
      <c r="I35" s="237">
        <f>+I33+I34</f>
        <v>0</v>
      </c>
      <c r="J35" s="68" t="str">
        <f t="shared" si="10"/>
        <v/>
      </c>
      <c r="K35" s="69" t="str">
        <f t="shared" si="10"/>
        <v/>
      </c>
      <c r="L35" s="70" t="str">
        <f t="shared" si="10"/>
        <v/>
      </c>
      <c r="M35" s="191"/>
      <c r="N35" s="218">
        <f>+N33+N34</f>
        <v>0</v>
      </c>
      <c r="O35" s="219">
        <f>+O33+O34</f>
        <v>0</v>
      </c>
      <c r="P35" s="219">
        <f>+P33+P34</f>
        <v>0</v>
      </c>
      <c r="Q35" s="237">
        <f>+Q33+Q34</f>
        <v>0</v>
      </c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191"/>
      <c r="V35" s="218">
        <f>+V26+V27+V28-V29-V30</f>
        <v>171.45684199999999</v>
      </c>
      <c r="W35" s="218">
        <f>+W26+W27+W28-W29-W30</f>
        <v>176.23775000000001</v>
      </c>
      <c r="X35" s="218">
        <f>+X26+X27+X28-X29-X30</f>
        <v>176.43191288020952</v>
      </c>
      <c r="Y35" s="218">
        <f>+Y26+Y27+Y28-Y29-Y30</f>
        <v>177.5</v>
      </c>
      <c r="Z35" s="68">
        <f t="shared" si="13"/>
        <v>2.7884031597875891E-2</v>
      </c>
      <c r="AA35" s="69">
        <f t="shared" si="13"/>
        <v>1.1017099356380733E-3</v>
      </c>
      <c r="AB35" s="70">
        <f t="shared" si="13"/>
        <v>6.0538204361910708E-3</v>
      </c>
      <c r="AD35" s="181"/>
      <c r="AE35" s="181"/>
      <c r="AF35" s="181"/>
      <c r="AG35" s="181"/>
      <c r="AH35" s="181"/>
      <c r="AI35" s="181"/>
      <c r="AJ35" s="181"/>
      <c r="AK35" s="181"/>
      <c r="AL35" s="181"/>
      <c r="AM35" s="181"/>
    </row>
    <row r="36" spans="1:39" ht="24.75" customHeight="1" x14ac:dyDescent="0.25">
      <c r="A36" s="224"/>
      <c r="C36" s="278" t="s">
        <v>12</v>
      </c>
      <c r="D36" s="52"/>
      <c r="E36" s="11"/>
      <c r="F36" s="258"/>
      <c r="G36" s="259"/>
      <c r="H36" s="259"/>
      <c r="I36" s="260"/>
      <c r="J36" s="68" t="str">
        <f t="shared" si="10"/>
        <v/>
      </c>
      <c r="K36" s="69" t="str">
        <f t="shared" si="10"/>
        <v/>
      </c>
      <c r="L36" s="70" t="str">
        <f t="shared" si="10"/>
        <v/>
      </c>
      <c r="N36" s="258"/>
      <c r="O36" s="259"/>
      <c r="P36" s="259"/>
      <c r="Q36" s="260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254">
        <f>+V35*1000000/V37</f>
        <v>16.579767012560279</v>
      </c>
      <c r="W36" s="254">
        <f>+W35*1000000/W37</f>
        <v>17.094573170004228</v>
      </c>
      <c r="X36" s="254">
        <f>+X35*1000000/W37</f>
        <v>17.113406431111116</v>
      </c>
      <c r="Y36" s="254">
        <f>+Y35*1000000/W37</f>
        <v>17.21700792069662</v>
      </c>
      <c r="Z36" s="68">
        <f t="shared" si="13"/>
        <v>3.1050264883333289E-2</v>
      </c>
      <c r="AA36" s="69">
        <f t="shared" si="13"/>
        <v>1.1017099356382953E-3</v>
      </c>
      <c r="AB36" s="70">
        <f t="shared" si="13"/>
        <v>6.0538204361910708E-3</v>
      </c>
      <c r="AC36" s="52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</row>
    <row r="37" spans="1:39" ht="24.75" customHeight="1" x14ac:dyDescent="0.25">
      <c r="A37" s="224"/>
      <c r="B37" s="279"/>
      <c r="C37" s="278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 t="s">
        <v>98</v>
      </c>
      <c r="U37" s="52"/>
      <c r="V37" s="52" t="s">
        <v>99</v>
      </c>
      <c r="W37" s="318">
        <v>10309573</v>
      </c>
      <c r="X37" s="52"/>
      <c r="Y37" s="52"/>
      <c r="Z37" s="52"/>
      <c r="AA37" s="52"/>
      <c r="AB37" s="52"/>
      <c r="AC37" s="52"/>
      <c r="AD37" s="181"/>
      <c r="AE37" s="181"/>
      <c r="AF37" s="181"/>
      <c r="AG37" s="181"/>
      <c r="AH37" s="181"/>
      <c r="AI37" s="181"/>
      <c r="AJ37" s="181"/>
      <c r="AK37" s="181"/>
      <c r="AL37" s="181"/>
      <c r="AM37" s="181"/>
    </row>
    <row r="38" spans="1:39" ht="24.75" customHeight="1" x14ac:dyDescent="0.25">
      <c r="A38" s="192" t="s">
        <v>13</v>
      </c>
      <c r="B38" s="193"/>
      <c r="C38" s="280"/>
      <c r="D38" s="223" t="s">
        <v>27</v>
      </c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</row>
    <row r="39" spans="1:39" ht="24.75" customHeight="1" x14ac:dyDescent="0.25">
      <c r="A39" s="281"/>
      <c r="B39" s="281"/>
      <c r="C39" s="281"/>
      <c r="D39" s="195" t="s">
        <v>41</v>
      </c>
      <c r="E39" s="221"/>
      <c r="F39" s="397" t="s">
        <v>21</v>
      </c>
      <c r="G39" s="397"/>
      <c r="H39" s="397"/>
      <c r="I39" s="397"/>
      <c r="J39" s="397"/>
      <c r="K39" s="397"/>
      <c r="L39" s="397"/>
      <c r="M39" s="221"/>
      <c r="N39" s="397" t="s">
        <v>20</v>
      </c>
      <c r="O39" s="397"/>
      <c r="P39" s="397"/>
      <c r="Q39" s="397"/>
      <c r="R39" s="397"/>
      <c r="S39" s="397"/>
      <c r="T39" s="397"/>
      <c r="U39" s="221"/>
      <c r="V39" s="221"/>
      <c r="W39" s="221"/>
      <c r="X39" s="221"/>
      <c r="Y39" s="221"/>
      <c r="Z39" s="221"/>
      <c r="AA39" s="221"/>
      <c r="AB39" s="221"/>
    </row>
    <row r="40" spans="1:39" ht="24.75" customHeight="1" x14ac:dyDescent="0.25">
      <c r="A40" s="282"/>
      <c r="B40" s="200"/>
      <c r="C40" s="200"/>
      <c r="D40" s="283"/>
      <c r="E40" s="284"/>
      <c r="F40" s="398">
        <f>$F$7</f>
        <v>2015</v>
      </c>
      <c r="G40" s="393">
        <f>+F40+1</f>
        <v>2016</v>
      </c>
      <c r="H40" s="393">
        <f>+G40+1</f>
        <v>2017</v>
      </c>
      <c r="I40" s="395">
        <f>+H40+1</f>
        <v>2018</v>
      </c>
      <c r="J40" s="197"/>
      <c r="K40" s="198" t="s">
        <v>11</v>
      </c>
      <c r="L40" s="199"/>
      <c r="N40" s="398">
        <f>$F$7</f>
        <v>2015</v>
      </c>
      <c r="O40" s="393">
        <f>+N40+1</f>
        <v>2016</v>
      </c>
      <c r="P40" s="393">
        <f>+O40+1</f>
        <v>2017</v>
      </c>
      <c r="Q40" s="395">
        <f>+P40+1</f>
        <v>2018</v>
      </c>
      <c r="R40" s="197"/>
      <c r="S40" s="198" t="s">
        <v>11</v>
      </c>
      <c r="T40" s="199"/>
    </row>
    <row r="41" spans="1:39" ht="24.75" customHeight="1" x14ac:dyDescent="0.25">
      <c r="A41" s="282"/>
      <c r="B41" s="200"/>
      <c r="C41" s="202"/>
      <c r="D41" s="283"/>
      <c r="E41" s="284"/>
      <c r="F41" s="399"/>
      <c r="G41" s="394"/>
      <c r="H41" s="394"/>
      <c r="I41" s="396"/>
      <c r="J41" s="206" t="str">
        <f>G40&amp;"/"&amp;RIGHT(F40,2)</f>
        <v>2016/15</v>
      </c>
      <c r="K41" s="207" t="str">
        <f>H40&amp;"/"&amp;RIGHT(G40,2)</f>
        <v>2017/16</v>
      </c>
      <c r="L41" s="208" t="str">
        <f>I40&amp;"/"&amp;RIGHT(H40,2)</f>
        <v>2018/17</v>
      </c>
      <c r="N41" s="399"/>
      <c r="O41" s="394"/>
      <c r="P41" s="394"/>
      <c r="Q41" s="396"/>
      <c r="R41" s="206" t="str">
        <f>O40&amp;"/"&amp;RIGHT(N40,2)</f>
        <v>2016/15</v>
      </c>
      <c r="S41" s="207" t="str">
        <f>P40&amp;"/"&amp;RIGHT(O40,2)</f>
        <v>2017/16</v>
      </c>
      <c r="T41" s="208" t="str">
        <f>Q40&amp;"/"&amp;RIGHT(P40,2)</f>
        <v>2018/17</v>
      </c>
    </row>
    <row r="42" spans="1:39" ht="24.75" customHeight="1" x14ac:dyDescent="0.25">
      <c r="A42" s="284"/>
      <c r="B42" s="284"/>
      <c r="C42" s="202" t="s">
        <v>35</v>
      </c>
      <c r="D42" s="284"/>
      <c r="E42" s="284"/>
      <c r="F42" s="285">
        <v>3.7311153846153848</v>
      </c>
      <c r="G42" s="286">
        <v>3.669</v>
      </c>
      <c r="H42" s="286">
        <v>3.7115384615384608</v>
      </c>
      <c r="I42" s="319">
        <v>3.8</v>
      </c>
      <c r="J42" s="62">
        <f t="shared" ref="J42:L44" si="14">IF(OR(G42=0,F42=0),"",G42/F42-1)</f>
        <v>-1.6647939881866636E-2</v>
      </c>
      <c r="K42" s="63">
        <f t="shared" si="14"/>
        <v>1.1594020588296727E-2</v>
      </c>
      <c r="L42" s="64">
        <f t="shared" si="14"/>
        <v>2.3834196891191928E-2</v>
      </c>
      <c r="N42" s="285">
        <v>4.1643999999999997</v>
      </c>
      <c r="O42" s="286">
        <v>4.13</v>
      </c>
      <c r="P42" s="286">
        <v>4.3961538461538483</v>
      </c>
      <c r="Q42" s="319">
        <v>4.4000000000000004</v>
      </c>
      <c r="R42" s="62">
        <f t="shared" ref="R42:T44" si="15">IF(OR(O42=0,N42=0),"",O42/N42-1)</f>
        <v>-8.2604937085773988E-3</v>
      </c>
      <c r="S42" s="63">
        <f t="shared" si="15"/>
        <v>6.4444030545726116E-2</v>
      </c>
      <c r="T42" s="64">
        <f t="shared" si="15"/>
        <v>8.7489063866974526E-4</v>
      </c>
      <c r="AG42" s="290"/>
      <c r="AJ42" s="190"/>
    </row>
    <row r="43" spans="1:39" ht="24.75" customHeight="1" x14ac:dyDescent="0.25">
      <c r="A43" s="284"/>
      <c r="B43" s="284"/>
      <c r="C43" s="291" t="s">
        <v>36</v>
      </c>
      <c r="D43" s="230"/>
      <c r="E43" s="284"/>
      <c r="F43" s="292">
        <v>3.6</v>
      </c>
      <c r="G43" s="293">
        <v>3.67116049382716</v>
      </c>
      <c r="H43" s="293">
        <v>3.78</v>
      </c>
      <c r="I43" s="320">
        <v>3.8</v>
      </c>
      <c r="J43" s="65">
        <f t="shared" si="14"/>
        <v>1.9766803840877811E-2</v>
      </c>
      <c r="K43" s="66">
        <f t="shared" si="14"/>
        <v>2.964716643574894E-2</v>
      </c>
      <c r="L43" s="67">
        <f t="shared" si="14"/>
        <v>5.2910052910053462E-3</v>
      </c>
      <c r="N43" s="292">
        <v>4.07</v>
      </c>
      <c r="O43" s="293">
        <v>4.1628703703703707</v>
      </c>
      <c r="P43" s="293">
        <v>4.4000000000000004</v>
      </c>
      <c r="Q43" s="320">
        <v>4.4000000000000004</v>
      </c>
      <c r="R43" s="65">
        <f t="shared" si="15"/>
        <v>2.2818272818272867E-2</v>
      </c>
      <c r="S43" s="66">
        <f t="shared" si="15"/>
        <v>5.69630107431216E-2</v>
      </c>
      <c r="T43" s="67">
        <f t="shared" si="15"/>
        <v>0</v>
      </c>
      <c r="AJ43" s="297"/>
    </row>
    <row r="44" spans="1:39" ht="24.75" customHeight="1" x14ac:dyDescent="0.25">
      <c r="A44" s="200"/>
      <c r="B44" s="200"/>
      <c r="D44" s="298" t="s">
        <v>37</v>
      </c>
      <c r="E44" s="284"/>
      <c r="F44" s="299">
        <f>(F42+F43)/2</f>
        <v>3.6655576923076927</v>
      </c>
      <c r="G44" s="300">
        <f>(G42+G43)/2</f>
        <v>3.6700802469135798</v>
      </c>
      <c r="H44" s="300">
        <f>(H42+H43)/2</f>
        <v>3.7457692307692305</v>
      </c>
      <c r="I44" s="301">
        <f>(I42+I43)/2</f>
        <v>3.8</v>
      </c>
      <c r="J44" s="68">
        <f t="shared" si="14"/>
        <v>1.233797142349724E-3</v>
      </c>
      <c r="K44" s="69">
        <f t="shared" si="14"/>
        <v>2.0623250382413971E-2</v>
      </c>
      <c r="L44" s="70">
        <f t="shared" si="14"/>
        <v>1.4477872471506226E-2</v>
      </c>
      <c r="M44" s="191"/>
      <c r="N44" s="299">
        <f>(N42+N43)/2</f>
        <v>4.1172000000000004</v>
      </c>
      <c r="O44" s="300">
        <f>(O42+O43)/2</f>
        <v>4.1464351851851848</v>
      </c>
      <c r="P44" s="300">
        <f>(P42+P43)/2</f>
        <v>4.3980769230769248</v>
      </c>
      <c r="Q44" s="301">
        <f>(Q42+Q43)/2</f>
        <v>4.4000000000000004</v>
      </c>
      <c r="R44" s="68">
        <f t="shared" si="15"/>
        <v>7.1007444829458422E-3</v>
      </c>
      <c r="S44" s="69">
        <f t="shared" si="15"/>
        <v>6.06886944213747E-2</v>
      </c>
      <c r="T44" s="70">
        <f t="shared" si="15"/>
        <v>4.3725404459959982E-4</v>
      </c>
      <c r="AJ44" s="297"/>
    </row>
    <row r="45" spans="1:39" ht="24.75" customHeight="1" x14ac:dyDescent="0.25">
      <c r="A45" s="200"/>
      <c r="B45" s="200"/>
      <c r="C45" s="202"/>
      <c r="D45" s="284"/>
      <c r="E45" s="284"/>
      <c r="F45" s="397" t="s">
        <v>19</v>
      </c>
      <c r="G45" s="397"/>
      <c r="H45" s="397"/>
      <c r="I45" s="397"/>
      <c r="J45" s="397"/>
      <c r="K45" s="397"/>
      <c r="L45" s="397"/>
      <c r="M45" s="191"/>
      <c r="N45" s="397" t="s">
        <v>22</v>
      </c>
      <c r="O45" s="397"/>
      <c r="P45" s="397"/>
      <c r="Q45" s="397"/>
      <c r="R45" s="397"/>
      <c r="S45" s="397"/>
      <c r="T45" s="397"/>
      <c r="AJ45" s="297"/>
    </row>
    <row r="46" spans="1:39" ht="24.75" customHeight="1" x14ac:dyDescent="0.25">
      <c r="A46" s="200"/>
      <c r="B46" s="200"/>
      <c r="C46" s="202"/>
      <c r="D46" s="284"/>
      <c r="E46" s="284"/>
      <c r="F46" s="398">
        <f>$F$7</f>
        <v>2015</v>
      </c>
      <c r="G46" s="393">
        <f>+F46+1</f>
        <v>2016</v>
      </c>
      <c r="H46" s="393">
        <f>+G46+1</f>
        <v>2017</v>
      </c>
      <c r="I46" s="395">
        <f>+H46+1</f>
        <v>2018</v>
      </c>
      <c r="J46" s="197"/>
      <c r="K46" s="198" t="s">
        <v>11</v>
      </c>
      <c r="L46" s="199"/>
      <c r="M46" s="191"/>
      <c r="N46" s="398">
        <f>$F$7</f>
        <v>2015</v>
      </c>
      <c r="O46" s="393">
        <f>+N46+1</f>
        <v>2016</v>
      </c>
      <c r="P46" s="393">
        <f>+O46+1</f>
        <v>2017</v>
      </c>
      <c r="Q46" s="395">
        <f>+P46+1</f>
        <v>2018</v>
      </c>
      <c r="R46" s="197"/>
      <c r="S46" s="198" t="s">
        <v>11</v>
      </c>
      <c r="T46" s="199"/>
      <c r="AJ46" s="297"/>
    </row>
    <row r="47" spans="1:39" ht="24.75" customHeight="1" x14ac:dyDescent="0.25">
      <c r="A47" s="200"/>
      <c r="B47" s="200"/>
      <c r="C47" s="284"/>
      <c r="D47" s="200"/>
      <c r="E47" s="284"/>
      <c r="F47" s="399"/>
      <c r="G47" s="394"/>
      <c r="H47" s="394"/>
      <c r="I47" s="396"/>
      <c r="J47" s="206" t="str">
        <f>G46&amp;"/"&amp;RIGHT(F46,2)</f>
        <v>2016/15</v>
      </c>
      <c r="K47" s="207" t="str">
        <f>H46&amp;"/"&amp;RIGHT(G46,2)</f>
        <v>2017/16</v>
      </c>
      <c r="L47" s="208" t="str">
        <f>I46&amp;"/"&amp;RIGHT(H46,2)</f>
        <v>2018/17</v>
      </c>
      <c r="N47" s="399"/>
      <c r="O47" s="394"/>
      <c r="P47" s="394"/>
      <c r="Q47" s="396"/>
      <c r="R47" s="206" t="str">
        <f>O46&amp;"/"&amp;RIGHT(N46,2)</f>
        <v>2016/15</v>
      </c>
      <c r="S47" s="207" t="str">
        <f>P46&amp;"/"&amp;RIGHT(O46,2)</f>
        <v>2017/16</v>
      </c>
      <c r="T47" s="208" t="str">
        <f>Q46&amp;"/"&amp;RIGHT(P46,2)</f>
        <v>2018/17</v>
      </c>
      <c r="AJ47" s="297"/>
    </row>
    <row r="48" spans="1:39" ht="24.75" customHeight="1" x14ac:dyDescent="0.25">
      <c r="A48" s="284"/>
      <c r="B48" s="302"/>
      <c r="C48" s="202" t="s">
        <v>35</v>
      </c>
      <c r="D48" s="284"/>
      <c r="E48" s="284"/>
      <c r="F48" s="285">
        <v>2.1843461538461537</v>
      </c>
      <c r="G48" s="286">
        <v>2.093</v>
      </c>
      <c r="H48" s="286">
        <v>2.0061538461538464</v>
      </c>
      <c r="I48" s="319">
        <v>2.1</v>
      </c>
      <c r="J48" s="62">
        <f t="shared" ref="J48:L50" si="16">IF(OR(G48=0,F48=0),"",G48/F48-1)</f>
        <v>-4.1818533974257388E-2</v>
      </c>
      <c r="K48" s="63">
        <f t="shared" si="16"/>
        <v>-4.1493623433422666E-2</v>
      </c>
      <c r="L48" s="64">
        <f t="shared" si="16"/>
        <v>4.6779141104294375E-2</v>
      </c>
      <c r="N48" s="285">
        <v>3.6976153846153847</v>
      </c>
      <c r="O48" s="286">
        <v>3.73</v>
      </c>
      <c r="P48" s="286">
        <v>3.737307692307692</v>
      </c>
      <c r="Q48" s="319">
        <v>3.8</v>
      </c>
      <c r="R48" s="62">
        <f t="shared" ref="R48:T50" si="17">IF(OR(O48=0,N48=0),"",O48/N48-1)</f>
        <v>8.7582433585053909E-3</v>
      </c>
      <c r="S48" s="63">
        <f t="shared" si="17"/>
        <v>1.959166838523263E-3</v>
      </c>
      <c r="T48" s="64">
        <f t="shared" si="17"/>
        <v>1.6774724709272437E-2</v>
      </c>
      <c r="AF48" s="303"/>
      <c r="AJ48" s="190"/>
    </row>
    <row r="49" spans="1:36" ht="24.75" customHeight="1" x14ac:dyDescent="0.25">
      <c r="A49" s="200"/>
      <c r="B49" s="200"/>
      <c r="C49" s="291" t="s">
        <v>36</v>
      </c>
      <c r="D49" s="230"/>
      <c r="E49" s="284"/>
      <c r="F49" s="292">
        <v>2.16</v>
      </c>
      <c r="G49" s="293">
        <v>2.0736975308641976</v>
      </c>
      <c r="H49" s="293">
        <v>2.0499999999999998</v>
      </c>
      <c r="I49" s="320">
        <v>2.1</v>
      </c>
      <c r="J49" s="65">
        <f t="shared" si="16"/>
        <v>-3.9954846822130796E-2</v>
      </c>
      <c r="K49" s="66">
        <f t="shared" si="16"/>
        <v>-1.1427669904357729E-2</v>
      </c>
      <c r="L49" s="67">
        <f t="shared" si="16"/>
        <v>2.4390243902439046E-2</v>
      </c>
      <c r="N49" s="292">
        <v>3.65</v>
      </c>
      <c r="O49" s="293">
        <v>3.7325617283950612</v>
      </c>
      <c r="P49" s="293">
        <v>3.8</v>
      </c>
      <c r="Q49" s="320">
        <v>3.8</v>
      </c>
      <c r="R49" s="65">
        <f t="shared" si="17"/>
        <v>2.2619651615085168E-2</v>
      </c>
      <c r="S49" s="66">
        <f t="shared" si="17"/>
        <v>1.8067556952081842E-2</v>
      </c>
      <c r="T49" s="67">
        <f t="shared" si="17"/>
        <v>0</v>
      </c>
      <c r="AH49" s="190"/>
      <c r="AJ49" s="190"/>
    </row>
    <row r="50" spans="1:36" ht="24.75" customHeight="1" x14ac:dyDescent="0.25">
      <c r="A50" s="200"/>
      <c r="B50" s="200"/>
      <c r="D50" s="298" t="s">
        <v>37</v>
      </c>
      <c r="E50" s="284"/>
      <c r="F50" s="299">
        <f>(F48+F49)/2</f>
        <v>2.1721730769230767</v>
      </c>
      <c r="G50" s="300">
        <f>(G48+G49)/2</f>
        <v>2.083348765432099</v>
      </c>
      <c r="H50" s="300">
        <f>(H48+H49)/2</f>
        <v>2.0280769230769229</v>
      </c>
      <c r="I50" s="301">
        <f>(I48+I49)/2</f>
        <v>2.1</v>
      </c>
      <c r="J50" s="68">
        <f t="shared" si="16"/>
        <v>-4.0891912543543296E-2</v>
      </c>
      <c r="K50" s="69">
        <f t="shared" si="16"/>
        <v>-2.653028780983413E-2</v>
      </c>
      <c r="L50" s="70">
        <f t="shared" si="16"/>
        <v>3.5463682912952876E-2</v>
      </c>
      <c r="M50" s="191"/>
      <c r="N50" s="299">
        <f>(N48+N49)/2</f>
        <v>3.6738076923076921</v>
      </c>
      <c r="O50" s="300">
        <f>(O48+O49)/2</f>
        <v>3.7312808641975304</v>
      </c>
      <c r="P50" s="300">
        <f>(P48+P49)/2</f>
        <v>3.7686538461538461</v>
      </c>
      <c r="Q50" s="301">
        <f>(Q48+Q49)/2</f>
        <v>3.8</v>
      </c>
      <c r="R50" s="68">
        <f t="shared" si="17"/>
        <v>1.5644033848090988E-2</v>
      </c>
      <c r="S50" s="69">
        <f t="shared" si="17"/>
        <v>1.0016126718017437E-2</v>
      </c>
      <c r="T50" s="70">
        <f t="shared" si="17"/>
        <v>8.3175996325968171E-3</v>
      </c>
      <c r="AH50" s="190"/>
      <c r="AJ50" s="304"/>
    </row>
    <row r="51" spans="1:36" ht="24.75" customHeight="1" x14ac:dyDescent="0.25">
      <c r="A51" s="284"/>
      <c r="B51" s="284"/>
      <c r="C51" s="284"/>
      <c r="D51" s="284"/>
      <c r="E51" s="284"/>
      <c r="AC51" s="186"/>
      <c r="AH51" s="186"/>
      <c r="AI51" s="186"/>
      <c r="AJ51" s="186"/>
    </row>
    <row r="52" spans="1:36" ht="24.75" customHeight="1" x14ac:dyDescent="0.25">
      <c r="A52" s="305"/>
      <c r="B52" s="284"/>
      <c r="C52" s="284"/>
      <c r="D52" s="284"/>
      <c r="E52" s="284"/>
      <c r="V52" s="306"/>
      <c r="W52" s="306"/>
      <c r="X52" s="306"/>
      <c r="Y52" s="306"/>
      <c r="Z52" s="17"/>
      <c r="AA52" s="17"/>
      <c r="AB52" s="17"/>
    </row>
    <row r="53" spans="1:36" ht="24.75" customHeight="1" x14ac:dyDescent="0.25">
      <c r="A53" s="303"/>
      <c r="V53" s="306"/>
      <c r="W53" s="306"/>
      <c r="X53" s="306"/>
      <c r="Y53" s="306"/>
      <c r="Z53" s="17"/>
      <c r="AA53" s="17"/>
      <c r="AB53" s="17"/>
    </row>
    <row r="54" spans="1:36" ht="24.75" customHeight="1" x14ac:dyDescent="0.25">
      <c r="A54" s="303"/>
      <c r="U54" s="191"/>
      <c r="V54" s="306"/>
      <c r="W54" s="306"/>
      <c r="X54" s="306"/>
      <c r="Y54" s="306"/>
      <c r="Z54" s="17"/>
      <c r="AA54" s="17"/>
      <c r="AB54" s="17"/>
    </row>
    <row r="55" spans="1:36" ht="24.75" customHeight="1" x14ac:dyDescent="0.25">
      <c r="A55" s="303"/>
      <c r="U55" s="306"/>
      <c r="V55" s="306"/>
      <c r="W55" s="306"/>
      <c r="X55" s="306"/>
      <c r="Y55" s="306"/>
      <c r="Z55" s="17"/>
      <c r="AA55" s="17"/>
      <c r="AB55" s="17"/>
    </row>
    <row r="56" spans="1:36" ht="24.75" customHeight="1" x14ac:dyDescent="0.25">
      <c r="A56" s="307"/>
      <c r="U56" s="191"/>
      <c r="V56" s="306"/>
      <c r="W56" s="306"/>
      <c r="X56" s="306"/>
      <c r="Y56" s="306"/>
      <c r="Z56" s="17"/>
      <c r="AA56" s="17"/>
      <c r="AB56" s="17"/>
    </row>
    <row r="57" spans="1:36" ht="17.25" customHeight="1" x14ac:dyDescent="0.25">
      <c r="A57" s="190"/>
      <c r="B57" s="190"/>
      <c r="C57" s="190"/>
      <c r="D57" s="190"/>
      <c r="E57" s="190"/>
      <c r="V57" s="306"/>
      <c r="W57" s="306"/>
      <c r="X57" s="306"/>
      <c r="Y57" s="306"/>
      <c r="Z57" s="17"/>
      <c r="AA57" s="17"/>
      <c r="AB57" s="17"/>
    </row>
    <row r="58" spans="1:36" ht="17.25" customHeight="1" x14ac:dyDescent="0.25">
      <c r="A58" s="186"/>
      <c r="B58" s="190"/>
      <c r="C58" s="190"/>
      <c r="D58" s="186"/>
      <c r="E58" s="186"/>
    </row>
  </sheetData>
  <mergeCells count="76">
    <mergeCell ref="D1:U1"/>
    <mergeCell ref="A3:B3"/>
    <mergeCell ref="C3:D3"/>
    <mergeCell ref="A5:B5"/>
    <mergeCell ref="C5:D5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Q13:Q14"/>
    <mergeCell ref="V13:V14"/>
    <mergeCell ref="W13:W14"/>
    <mergeCell ref="X13:X14"/>
    <mergeCell ref="Y13:Y14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</mergeCells>
  <conditionalFormatting sqref="F50:M50 U56 U54 F44:T44 F17:AB17 F26:I26 V33:AB33 V34:Y34 V30:Y30 V29:AB29 V18:Y21 V15:Y16 U26:Y26 M26:Q26 V27:Y28 V24:Y25 F35:AB35 V36:Y36">
    <cfRule type="cellIs" dxfId="14" priority="3" stopIfTrue="1" operator="equal">
      <formula>0</formula>
    </cfRule>
  </conditionalFormatting>
  <conditionalFormatting sqref="N50:T50">
    <cfRule type="cellIs" dxfId="13" priority="2" stopIfTrue="1" operator="equal">
      <formula>0</formula>
    </cfRule>
  </conditionalFormatting>
  <conditionalFormatting sqref="F12:I12">
    <cfRule type="cellIs" dxfId="12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M58"/>
  <sheetViews>
    <sheetView showGridLines="0" zoomScale="60" zoomScaleNormal="60" workbookViewId="0">
      <selection activeCell="C21" sqref="C21"/>
    </sheetView>
  </sheetViews>
  <sheetFormatPr defaultColWidth="9" defaultRowHeight="15.75" x14ac:dyDescent="0.25"/>
  <cols>
    <col min="1" max="1" width="2.625" style="122" customWidth="1"/>
    <col min="2" max="2" width="18.875" style="122" customWidth="1"/>
    <col min="3" max="3" width="26.625" style="122" customWidth="1"/>
    <col min="4" max="4" width="14.375" style="122" customWidth="1"/>
    <col min="5" max="5" width="3.125" style="122" customWidth="1"/>
    <col min="6" max="9" width="12.375" style="122" customWidth="1"/>
    <col min="10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9" style="122"/>
    <col min="257" max="257" width="2.62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125" style="122" customWidth="1"/>
    <col min="262" max="265" width="12.375" style="122" customWidth="1"/>
    <col min="266" max="268" width="7" style="122" customWidth="1"/>
    <col min="269" max="269" width="3.1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9" style="122"/>
    <col min="513" max="513" width="2.62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125" style="122" customWidth="1"/>
    <col min="518" max="521" width="12.375" style="122" customWidth="1"/>
    <col min="522" max="524" width="7" style="122" customWidth="1"/>
    <col min="525" max="525" width="3.1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9" style="122"/>
    <col min="769" max="769" width="2.62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125" style="122" customWidth="1"/>
    <col min="774" max="777" width="12.375" style="122" customWidth="1"/>
    <col min="778" max="780" width="7" style="122" customWidth="1"/>
    <col min="781" max="781" width="3.1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9" style="122"/>
    <col min="1025" max="1025" width="2.62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125" style="122" customWidth="1"/>
    <col min="1030" max="1033" width="12.375" style="122" customWidth="1"/>
    <col min="1034" max="1036" width="7" style="122" customWidth="1"/>
    <col min="1037" max="1037" width="3.1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9" style="122"/>
    <col min="1281" max="1281" width="2.62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125" style="122" customWidth="1"/>
    <col min="1286" max="1289" width="12.375" style="122" customWidth="1"/>
    <col min="1290" max="1292" width="7" style="122" customWidth="1"/>
    <col min="1293" max="1293" width="3.1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9" style="122"/>
    <col min="1537" max="1537" width="2.62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125" style="122" customWidth="1"/>
    <col min="1542" max="1545" width="12.375" style="122" customWidth="1"/>
    <col min="1546" max="1548" width="7" style="122" customWidth="1"/>
    <col min="1549" max="1549" width="3.1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9" style="122"/>
    <col min="1793" max="1793" width="2.62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125" style="122" customWidth="1"/>
    <col min="1798" max="1801" width="12.375" style="122" customWidth="1"/>
    <col min="1802" max="1804" width="7" style="122" customWidth="1"/>
    <col min="1805" max="1805" width="3.1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9" style="122"/>
    <col min="2049" max="2049" width="2.62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125" style="122" customWidth="1"/>
    <col min="2054" max="2057" width="12.375" style="122" customWidth="1"/>
    <col min="2058" max="2060" width="7" style="122" customWidth="1"/>
    <col min="2061" max="2061" width="3.1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9" style="122"/>
    <col min="2305" max="2305" width="2.62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125" style="122" customWidth="1"/>
    <col min="2310" max="2313" width="12.375" style="122" customWidth="1"/>
    <col min="2314" max="2316" width="7" style="122" customWidth="1"/>
    <col min="2317" max="2317" width="3.1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9" style="122"/>
    <col min="2561" max="2561" width="2.62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125" style="122" customWidth="1"/>
    <col min="2566" max="2569" width="12.375" style="122" customWidth="1"/>
    <col min="2570" max="2572" width="7" style="122" customWidth="1"/>
    <col min="2573" max="2573" width="3.1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9" style="122"/>
    <col min="2817" max="2817" width="2.62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125" style="122" customWidth="1"/>
    <col min="2822" max="2825" width="12.375" style="122" customWidth="1"/>
    <col min="2826" max="2828" width="7" style="122" customWidth="1"/>
    <col min="2829" max="2829" width="3.1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9" style="122"/>
    <col min="3073" max="3073" width="2.62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125" style="122" customWidth="1"/>
    <col min="3078" max="3081" width="12.375" style="122" customWidth="1"/>
    <col min="3082" max="3084" width="7" style="122" customWidth="1"/>
    <col min="3085" max="3085" width="3.1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9" style="122"/>
    <col min="3329" max="3329" width="2.62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125" style="122" customWidth="1"/>
    <col min="3334" max="3337" width="12.375" style="122" customWidth="1"/>
    <col min="3338" max="3340" width="7" style="122" customWidth="1"/>
    <col min="3341" max="3341" width="3.1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9" style="122"/>
    <col min="3585" max="3585" width="2.62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125" style="122" customWidth="1"/>
    <col min="3590" max="3593" width="12.375" style="122" customWidth="1"/>
    <col min="3594" max="3596" width="7" style="122" customWidth="1"/>
    <col min="3597" max="3597" width="3.1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9" style="122"/>
    <col min="3841" max="3841" width="2.62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125" style="122" customWidth="1"/>
    <col min="3846" max="3849" width="12.375" style="122" customWidth="1"/>
    <col min="3850" max="3852" width="7" style="122" customWidth="1"/>
    <col min="3853" max="3853" width="3.1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9" style="122"/>
    <col min="4097" max="4097" width="2.62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125" style="122" customWidth="1"/>
    <col min="4102" max="4105" width="12.375" style="122" customWidth="1"/>
    <col min="4106" max="4108" width="7" style="122" customWidth="1"/>
    <col min="4109" max="4109" width="3.1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9" style="122"/>
    <col min="4353" max="4353" width="2.62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125" style="122" customWidth="1"/>
    <col min="4358" max="4361" width="12.375" style="122" customWidth="1"/>
    <col min="4362" max="4364" width="7" style="122" customWidth="1"/>
    <col min="4365" max="4365" width="3.1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9" style="122"/>
    <col min="4609" max="4609" width="2.62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125" style="122" customWidth="1"/>
    <col min="4614" max="4617" width="12.375" style="122" customWidth="1"/>
    <col min="4618" max="4620" width="7" style="122" customWidth="1"/>
    <col min="4621" max="4621" width="3.1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9" style="122"/>
    <col min="4865" max="4865" width="2.62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125" style="122" customWidth="1"/>
    <col min="4870" max="4873" width="12.375" style="122" customWidth="1"/>
    <col min="4874" max="4876" width="7" style="122" customWidth="1"/>
    <col min="4877" max="4877" width="3.1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9" style="122"/>
    <col min="5121" max="5121" width="2.62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125" style="122" customWidth="1"/>
    <col min="5126" max="5129" width="12.375" style="122" customWidth="1"/>
    <col min="5130" max="5132" width="7" style="122" customWidth="1"/>
    <col min="5133" max="5133" width="3.1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9" style="122"/>
    <col min="5377" max="5377" width="2.62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125" style="122" customWidth="1"/>
    <col min="5382" max="5385" width="12.375" style="122" customWidth="1"/>
    <col min="5386" max="5388" width="7" style="122" customWidth="1"/>
    <col min="5389" max="5389" width="3.1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9" style="122"/>
    <col min="5633" max="5633" width="2.62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125" style="122" customWidth="1"/>
    <col min="5638" max="5641" width="12.375" style="122" customWidth="1"/>
    <col min="5642" max="5644" width="7" style="122" customWidth="1"/>
    <col min="5645" max="5645" width="3.1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9" style="122"/>
    <col min="5889" max="5889" width="2.62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125" style="122" customWidth="1"/>
    <col min="5894" max="5897" width="12.375" style="122" customWidth="1"/>
    <col min="5898" max="5900" width="7" style="122" customWidth="1"/>
    <col min="5901" max="5901" width="3.1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9" style="122"/>
    <col min="6145" max="6145" width="2.62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125" style="122" customWidth="1"/>
    <col min="6150" max="6153" width="12.375" style="122" customWidth="1"/>
    <col min="6154" max="6156" width="7" style="122" customWidth="1"/>
    <col min="6157" max="6157" width="3.1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9" style="122"/>
    <col min="6401" max="6401" width="2.62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125" style="122" customWidth="1"/>
    <col min="6406" max="6409" width="12.375" style="122" customWidth="1"/>
    <col min="6410" max="6412" width="7" style="122" customWidth="1"/>
    <col min="6413" max="6413" width="3.1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9" style="122"/>
    <col min="6657" max="6657" width="2.62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125" style="122" customWidth="1"/>
    <col min="6662" max="6665" width="12.375" style="122" customWidth="1"/>
    <col min="6666" max="6668" width="7" style="122" customWidth="1"/>
    <col min="6669" max="6669" width="3.1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9" style="122"/>
    <col min="6913" max="6913" width="2.62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125" style="122" customWidth="1"/>
    <col min="6918" max="6921" width="12.375" style="122" customWidth="1"/>
    <col min="6922" max="6924" width="7" style="122" customWidth="1"/>
    <col min="6925" max="6925" width="3.1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9" style="122"/>
    <col min="7169" max="7169" width="2.62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125" style="122" customWidth="1"/>
    <col min="7174" max="7177" width="12.375" style="122" customWidth="1"/>
    <col min="7178" max="7180" width="7" style="122" customWidth="1"/>
    <col min="7181" max="7181" width="3.1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9" style="122"/>
    <col min="7425" max="7425" width="2.62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125" style="122" customWidth="1"/>
    <col min="7430" max="7433" width="12.375" style="122" customWidth="1"/>
    <col min="7434" max="7436" width="7" style="122" customWidth="1"/>
    <col min="7437" max="7437" width="3.1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9" style="122"/>
    <col min="7681" max="7681" width="2.62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125" style="122" customWidth="1"/>
    <col min="7686" max="7689" width="12.375" style="122" customWidth="1"/>
    <col min="7690" max="7692" width="7" style="122" customWidth="1"/>
    <col min="7693" max="7693" width="3.1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9" style="122"/>
    <col min="7937" max="7937" width="2.62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125" style="122" customWidth="1"/>
    <col min="7942" max="7945" width="12.375" style="122" customWidth="1"/>
    <col min="7946" max="7948" width="7" style="122" customWidth="1"/>
    <col min="7949" max="7949" width="3.1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9" style="122"/>
    <col min="8193" max="8193" width="2.62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125" style="122" customWidth="1"/>
    <col min="8198" max="8201" width="12.375" style="122" customWidth="1"/>
    <col min="8202" max="8204" width="7" style="122" customWidth="1"/>
    <col min="8205" max="8205" width="3.1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9" style="122"/>
    <col min="8449" max="8449" width="2.62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125" style="122" customWidth="1"/>
    <col min="8454" max="8457" width="12.375" style="122" customWidth="1"/>
    <col min="8458" max="8460" width="7" style="122" customWidth="1"/>
    <col min="8461" max="8461" width="3.1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9" style="122"/>
    <col min="8705" max="8705" width="2.62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125" style="122" customWidth="1"/>
    <col min="8710" max="8713" width="12.375" style="122" customWidth="1"/>
    <col min="8714" max="8716" width="7" style="122" customWidth="1"/>
    <col min="8717" max="8717" width="3.1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9" style="122"/>
    <col min="8961" max="8961" width="2.62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125" style="122" customWidth="1"/>
    <col min="8966" max="8969" width="12.375" style="122" customWidth="1"/>
    <col min="8970" max="8972" width="7" style="122" customWidth="1"/>
    <col min="8973" max="8973" width="3.1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9" style="122"/>
    <col min="9217" max="9217" width="2.62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125" style="122" customWidth="1"/>
    <col min="9222" max="9225" width="12.375" style="122" customWidth="1"/>
    <col min="9226" max="9228" width="7" style="122" customWidth="1"/>
    <col min="9229" max="9229" width="3.1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9" style="122"/>
    <col min="9473" max="9473" width="2.62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125" style="122" customWidth="1"/>
    <col min="9478" max="9481" width="12.375" style="122" customWidth="1"/>
    <col min="9482" max="9484" width="7" style="122" customWidth="1"/>
    <col min="9485" max="9485" width="3.1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9" style="122"/>
    <col min="9729" max="9729" width="2.62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125" style="122" customWidth="1"/>
    <col min="9734" max="9737" width="12.375" style="122" customWidth="1"/>
    <col min="9738" max="9740" width="7" style="122" customWidth="1"/>
    <col min="9741" max="9741" width="3.1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9" style="122"/>
    <col min="9985" max="9985" width="2.62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125" style="122" customWidth="1"/>
    <col min="9990" max="9993" width="12.375" style="122" customWidth="1"/>
    <col min="9994" max="9996" width="7" style="122" customWidth="1"/>
    <col min="9997" max="9997" width="3.1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9" style="122"/>
    <col min="10241" max="10241" width="2.62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125" style="122" customWidth="1"/>
    <col min="10246" max="10249" width="12.375" style="122" customWidth="1"/>
    <col min="10250" max="10252" width="7" style="122" customWidth="1"/>
    <col min="10253" max="10253" width="3.1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9" style="122"/>
    <col min="10497" max="10497" width="2.62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125" style="122" customWidth="1"/>
    <col min="10502" max="10505" width="12.375" style="122" customWidth="1"/>
    <col min="10506" max="10508" width="7" style="122" customWidth="1"/>
    <col min="10509" max="10509" width="3.1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9" style="122"/>
    <col min="10753" max="10753" width="2.62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125" style="122" customWidth="1"/>
    <col min="10758" max="10761" width="12.375" style="122" customWidth="1"/>
    <col min="10762" max="10764" width="7" style="122" customWidth="1"/>
    <col min="10765" max="10765" width="3.1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9" style="122"/>
    <col min="11009" max="11009" width="2.62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125" style="122" customWidth="1"/>
    <col min="11014" max="11017" width="12.375" style="122" customWidth="1"/>
    <col min="11018" max="11020" width="7" style="122" customWidth="1"/>
    <col min="11021" max="11021" width="3.1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9" style="122"/>
    <col min="11265" max="11265" width="2.62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125" style="122" customWidth="1"/>
    <col min="11270" max="11273" width="12.375" style="122" customWidth="1"/>
    <col min="11274" max="11276" width="7" style="122" customWidth="1"/>
    <col min="11277" max="11277" width="3.1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9" style="122"/>
    <col min="11521" max="11521" width="2.62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125" style="122" customWidth="1"/>
    <col min="11526" max="11529" width="12.375" style="122" customWidth="1"/>
    <col min="11530" max="11532" width="7" style="122" customWidth="1"/>
    <col min="11533" max="11533" width="3.1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9" style="122"/>
    <col min="11777" max="11777" width="2.62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125" style="122" customWidth="1"/>
    <col min="11782" max="11785" width="12.375" style="122" customWidth="1"/>
    <col min="11786" max="11788" width="7" style="122" customWidth="1"/>
    <col min="11789" max="11789" width="3.1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9" style="122"/>
    <col min="12033" max="12033" width="2.62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125" style="122" customWidth="1"/>
    <col min="12038" max="12041" width="12.375" style="122" customWidth="1"/>
    <col min="12042" max="12044" width="7" style="122" customWidth="1"/>
    <col min="12045" max="12045" width="3.1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9" style="122"/>
    <col min="12289" max="12289" width="2.62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125" style="122" customWidth="1"/>
    <col min="12294" max="12297" width="12.375" style="122" customWidth="1"/>
    <col min="12298" max="12300" width="7" style="122" customWidth="1"/>
    <col min="12301" max="12301" width="3.1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9" style="122"/>
    <col min="12545" max="12545" width="2.62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125" style="122" customWidth="1"/>
    <col min="12550" max="12553" width="12.375" style="122" customWidth="1"/>
    <col min="12554" max="12556" width="7" style="122" customWidth="1"/>
    <col min="12557" max="12557" width="3.1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9" style="122"/>
    <col min="12801" max="12801" width="2.62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125" style="122" customWidth="1"/>
    <col min="12806" max="12809" width="12.375" style="122" customWidth="1"/>
    <col min="12810" max="12812" width="7" style="122" customWidth="1"/>
    <col min="12813" max="12813" width="3.1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9" style="122"/>
    <col min="13057" max="13057" width="2.62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125" style="122" customWidth="1"/>
    <col min="13062" max="13065" width="12.375" style="122" customWidth="1"/>
    <col min="13066" max="13068" width="7" style="122" customWidth="1"/>
    <col min="13069" max="13069" width="3.1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9" style="122"/>
    <col min="13313" max="13313" width="2.62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125" style="122" customWidth="1"/>
    <col min="13318" max="13321" width="12.375" style="122" customWidth="1"/>
    <col min="13322" max="13324" width="7" style="122" customWidth="1"/>
    <col min="13325" max="13325" width="3.1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9" style="122"/>
    <col min="13569" max="13569" width="2.62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125" style="122" customWidth="1"/>
    <col min="13574" max="13577" width="12.375" style="122" customWidth="1"/>
    <col min="13578" max="13580" width="7" style="122" customWidth="1"/>
    <col min="13581" max="13581" width="3.1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9" style="122"/>
    <col min="13825" max="13825" width="2.62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125" style="122" customWidth="1"/>
    <col min="13830" max="13833" width="12.375" style="122" customWidth="1"/>
    <col min="13834" max="13836" width="7" style="122" customWidth="1"/>
    <col min="13837" max="13837" width="3.1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9" style="122"/>
    <col min="14081" max="14081" width="2.62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125" style="122" customWidth="1"/>
    <col min="14086" max="14089" width="12.375" style="122" customWidth="1"/>
    <col min="14090" max="14092" width="7" style="122" customWidth="1"/>
    <col min="14093" max="14093" width="3.1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9" style="122"/>
    <col min="14337" max="14337" width="2.62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125" style="122" customWidth="1"/>
    <col min="14342" max="14345" width="12.375" style="122" customWidth="1"/>
    <col min="14346" max="14348" width="7" style="122" customWidth="1"/>
    <col min="14349" max="14349" width="3.1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9" style="122"/>
    <col min="14593" max="14593" width="2.62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125" style="122" customWidth="1"/>
    <col min="14598" max="14601" width="12.375" style="122" customWidth="1"/>
    <col min="14602" max="14604" width="7" style="122" customWidth="1"/>
    <col min="14605" max="14605" width="3.1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9" style="122"/>
    <col min="14849" max="14849" width="2.62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125" style="122" customWidth="1"/>
    <col min="14854" max="14857" width="12.375" style="122" customWidth="1"/>
    <col min="14858" max="14860" width="7" style="122" customWidth="1"/>
    <col min="14861" max="14861" width="3.1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9" style="122"/>
    <col min="15105" max="15105" width="2.62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125" style="122" customWidth="1"/>
    <col min="15110" max="15113" width="12.375" style="122" customWidth="1"/>
    <col min="15114" max="15116" width="7" style="122" customWidth="1"/>
    <col min="15117" max="15117" width="3.1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9" style="122"/>
    <col min="15361" max="15361" width="2.62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125" style="122" customWidth="1"/>
    <col min="15366" max="15369" width="12.375" style="122" customWidth="1"/>
    <col min="15370" max="15372" width="7" style="122" customWidth="1"/>
    <col min="15373" max="15373" width="3.1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9" style="122"/>
    <col min="15617" max="15617" width="2.62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125" style="122" customWidth="1"/>
    <col min="15622" max="15625" width="12.375" style="122" customWidth="1"/>
    <col min="15626" max="15628" width="7" style="122" customWidth="1"/>
    <col min="15629" max="15629" width="3.1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9" style="122"/>
    <col min="15873" max="15873" width="2.62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125" style="122" customWidth="1"/>
    <col min="15878" max="15881" width="12.375" style="122" customWidth="1"/>
    <col min="15882" max="15884" width="7" style="122" customWidth="1"/>
    <col min="15885" max="15885" width="3.1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9" style="122"/>
    <col min="16129" max="16129" width="2.62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125" style="122" customWidth="1"/>
    <col min="16134" max="16137" width="12.375" style="122" customWidth="1"/>
    <col min="16138" max="16140" width="7" style="122" customWidth="1"/>
    <col min="16141" max="16141" width="3.1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93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88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71">
        <v>484.19200000000001</v>
      </c>
      <c r="G9" s="72">
        <v>488.59800000000001</v>
      </c>
      <c r="H9" s="72">
        <v>484.92899999999997</v>
      </c>
      <c r="I9" s="73">
        <v>487</v>
      </c>
      <c r="J9" s="56">
        <f t="shared" ref="J9:L12" si="0">IF(OR(G9=0,F9=0),"",G9/F9-1)</f>
        <v>9.0996959883682393E-3</v>
      </c>
      <c r="K9" s="57">
        <f t="shared" si="0"/>
        <v>-7.5092407255045179E-3</v>
      </c>
      <c r="L9" s="58">
        <f t="shared" si="0"/>
        <v>4.2707282921830014E-3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74">
        <v>112.83799999999999</v>
      </c>
      <c r="G10" s="75">
        <v>107.84099999999999</v>
      </c>
      <c r="H10" s="75">
        <v>111.53400000000001</v>
      </c>
      <c r="I10" s="76">
        <v>113</v>
      </c>
      <c r="J10" s="59">
        <f t="shared" si="0"/>
        <v>-4.4284726776440575E-2</v>
      </c>
      <c r="K10" s="60">
        <f t="shared" si="0"/>
        <v>3.4244860489053508E-2</v>
      </c>
      <c r="L10" s="61">
        <f t="shared" si="0"/>
        <v>1.3143974034823369E-2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74">
        <v>57.036999999999999</v>
      </c>
      <c r="G11" s="75">
        <v>63.497999999999998</v>
      </c>
      <c r="H11" s="75">
        <v>57</v>
      </c>
      <c r="I11" s="76">
        <v>55</v>
      </c>
      <c r="J11" s="59">
        <f t="shared" si="0"/>
        <v>0.11327734628399111</v>
      </c>
      <c r="K11" s="60">
        <f t="shared" si="0"/>
        <v>-0.10233393177737882</v>
      </c>
      <c r="L11" s="61">
        <f t="shared" si="0"/>
        <v>-3.5087719298245612E-2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98">
        <f>+F10+F11</f>
        <v>169.875</v>
      </c>
      <c r="G12" s="99">
        <f>+G10+G11</f>
        <v>171.339</v>
      </c>
      <c r="H12" s="99">
        <f>+H10+H11</f>
        <v>168.53399999999999</v>
      </c>
      <c r="I12" s="100">
        <f>+I10+I11</f>
        <v>168</v>
      </c>
      <c r="J12" s="59">
        <f t="shared" si="0"/>
        <v>8.6181015452537757E-3</v>
      </c>
      <c r="K12" s="60">
        <f t="shared" si="0"/>
        <v>-1.6371053875650077E-2</v>
      </c>
      <c r="L12" s="61">
        <f t="shared" si="0"/>
        <v>-3.1685001246039013E-3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77"/>
      <c r="G15" s="78"/>
      <c r="H15" s="78"/>
      <c r="I15" s="79"/>
      <c r="J15" s="62" t="str">
        <f t="shared" ref="J15:L21" si="1">IF(OR(G15=0,F15=0),"",G15/F15-1)</f>
        <v/>
      </c>
      <c r="K15" s="63" t="str">
        <f t="shared" si="1"/>
        <v/>
      </c>
      <c r="L15" s="64" t="str">
        <f t="shared" si="1"/>
        <v/>
      </c>
      <c r="N15" s="77"/>
      <c r="O15" s="78"/>
      <c r="P15" s="78"/>
      <c r="Q15" s="79"/>
      <c r="R15" s="62" t="str">
        <f t="shared" ref="R15:T21" si="2">IF(OR(O15=0,N15=0),"",O15/N15-1)</f>
        <v/>
      </c>
      <c r="S15" s="63" t="str">
        <f t="shared" si="2"/>
        <v/>
      </c>
      <c r="T15" s="64" t="str">
        <f t="shared" si="2"/>
        <v/>
      </c>
      <c r="V15" s="86">
        <f>+F15+N15</f>
        <v>0</v>
      </c>
      <c r="W15" s="87">
        <f t="shared" ref="W15:Y21" si="3">+G15+O15</f>
        <v>0</v>
      </c>
      <c r="X15" s="87">
        <f t="shared" si="3"/>
        <v>0</v>
      </c>
      <c r="Y15" s="88">
        <f t="shared" si="3"/>
        <v>0</v>
      </c>
      <c r="Z15" s="59" t="str">
        <f t="shared" ref="Z15:AB21" si="4">IF(OR(W15=0,V15=0),"",W15/V15-1)</f>
        <v/>
      </c>
      <c r="AA15" s="60" t="str">
        <f t="shared" si="4"/>
        <v/>
      </c>
      <c r="AB15" s="61" t="str">
        <f t="shared" si="4"/>
        <v/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80">
        <f>((F20+F21)-(F18-F19) +F26)</f>
        <v>43.777558999999997</v>
      </c>
      <c r="G16" s="80">
        <f>((G20+G21)-(G18-G19) +G26)</f>
        <v>51.315167000000002</v>
      </c>
      <c r="H16" s="80">
        <f>((H20+H21)-(H18-H19) +H26)</f>
        <v>44.576675000000002</v>
      </c>
      <c r="I16" s="80">
        <f>((I20+I21)-(I18-I19) +I26)</f>
        <v>43</v>
      </c>
      <c r="J16" s="65">
        <f t="shared" si="1"/>
        <v>0.17217972340577514</v>
      </c>
      <c r="K16" s="66">
        <f t="shared" si="1"/>
        <v>-0.13131579597119891</v>
      </c>
      <c r="L16" s="67">
        <f t="shared" si="1"/>
        <v>-3.5369955251260965E-2</v>
      </c>
      <c r="N16" s="80">
        <f>(N18+N19)-(N20+N21)+N26</f>
        <v>1.6693269999999998</v>
      </c>
      <c r="O16" s="80">
        <f>(O18+O19)-(O20+O21)+O26</f>
        <v>1.7812450000000002</v>
      </c>
      <c r="P16" s="80">
        <f>(P18+P19)-(P20+P21)+P26</f>
        <v>1.907187</v>
      </c>
      <c r="Q16" s="80">
        <f>(Q18+Q19)-(Q20+Q21)+Q26</f>
        <v>1.9</v>
      </c>
      <c r="R16" s="65">
        <f t="shared" si="2"/>
        <v>6.7043784710844712E-2</v>
      </c>
      <c r="S16" s="66">
        <f t="shared" si="2"/>
        <v>7.0704479170467627E-2</v>
      </c>
      <c r="T16" s="67">
        <f t="shared" si="2"/>
        <v>-3.7683771963630264E-3</v>
      </c>
      <c r="V16" s="89">
        <f t="shared" ref="V16:V21" si="5">+F16+N16</f>
        <v>45.446885999999999</v>
      </c>
      <c r="W16" s="90">
        <f t="shared" si="3"/>
        <v>53.096412000000001</v>
      </c>
      <c r="X16" s="90">
        <f t="shared" si="3"/>
        <v>46.483862000000002</v>
      </c>
      <c r="Y16" s="91">
        <f t="shared" si="3"/>
        <v>44.9</v>
      </c>
      <c r="Z16" s="68">
        <f t="shared" si="4"/>
        <v>0.16831793491857727</v>
      </c>
      <c r="AA16" s="69">
        <f t="shared" si="4"/>
        <v>-0.12453854697375788</v>
      </c>
      <c r="AB16" s="70">
        <f t="shared" si="4"/>
        <v>-3.4073373679665453E-2</v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98">
        <f>+F15+F16</f>
        <v>43.777558999999997</v>
      </c>
      <c r="G17" s="99">
        <f>+G15+G16</f>
        <v>51.315167000000002</v>
      </c>
      <c r="H17" s="99">
        <f>+H15+H16</f>
        <v>44.576675000000002</v>
      </c>
      <c r="I17" s="100">
        <f>+I15+I16</f>
        <v>43</v>
      </c>
      <c r="J17" s="68">
        <f t="shared" si="1"/>
        <v>0.17217972340577514</v>
      </c>
      <c r="K17" s="69">
        <f t="shared" si="1"/>
        <v>-0.13131579597119891</v>
      </c>
      <c r="L17" s="70">
        <f t="shared" si="1"/>
        <v>-3.5369955251260965E-2</v>
      </c>
      <c r="M17" s="7">
        <f>+M15+M16</f>
        <v>0</v>
      </c>
      <c r="N17" s="98">
        <f>+N15+N16</f>
        <v>1.6693269999999998</v>
      </c>
      <c r="O17" s="99">
        <f>+O15+O16</f>
        <v>1.7812450000000002</v>
      </c>
      <c r="P17" s="99">
        <f>+P15+P16</f>
        <v>1.907187</v>
      </c>
      <c r="Q17" s="100">
        <f>+Q15+Q16</f>
        <v>1.9</v>
      </c>
      <c r="R17" s="68">
        <f t="shared" si="2"/>
        <v>6.7043784710844712E-2</v>
      </c>
      <c r="S17" s="69">
        <f t="shared" si="2"/>
        <v>7.0704479170467627E-2</v>
      </c>
      <c r="T17" s="70">
        <f t="shared" si="2"/>
        <v>-3.7683771963630264E-3</v>
      </c>
      <c r="U17" s="7"/>
      <c r="V17" s="98">
        <f>+V15+V16</f>
        <v>45.446885999999999</v>
      </c>
      <c r="W17" s="99">
        <f>+W15+W16</f>
        <v>53.096412000000001</v>
      </c>
      <c r="X17" s="99">
        <f>+X15+X16</f>
        <v>46.483862000000002</v>
      </c>
      <c r="Y17" s="100">
        <f>+Y15+Y16</f>
        <v>44.9</v>
      </c>
      <c r="Z17" s="68">
        <f t="shared" si="4"/>
        <v>0.16831793491857727</v>
      </c>
      <c r="AA17" s="69">
        <f t="shared" si="4"/>
        <v>-0.12453854697375788</v>
      </c>
      <c r="AB17" s="70">
        <f t="shared" si="4"/>
        <v>-3.4073373679665453E-2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74">
        <v>7.5810000000000004</v>
      </c>
      <c r="G18" s="75">
        <v>5.7380000000000004</v>
      </c>
      <c r="H18" s="75">
        <v>2.3359999999999999</v>
      </c>
      <c r="I18" s="76">
        <v>2</v>
      </c>
      <c r="J18" s="59">
        <f t="shared" si="1"/>
        <v>-0.24310776942355883</v>
      </c>
      <c r="K18" s="60">
        <f t="shared" si="1"/>
        <v>-0.59288950853956091</v>
      </c>
      <c r="L18" s="61">
        <f t="shared" si="1"/>
        <v>-0.14383561643835607</v>
      </c>
      <c r="N18" s="74">
        <v>8.7999999999999995E-2</v>
      </c>
      <c r="O18" s="75">
        <v>0.11899999999999999</v>
      </c>
      <c r="P18" s="75">
        <v>0.1</v>
      </c>
      <c r="Q18" s="76">
        <v>0.1</v>
      </c>
      <c r="R18" s="59">
        <f t="shared" si="2"/>
        <v>0.35227272727272729</v>
      </c>
      <c r="S18" s="60">
        <f t="shared" si="2"/>
        <v>-0.15966386554621836</v>
      </c>
      <c r="T18" s="61">
        <f t="shared" si="2"/>
        <v>0</v>
      </c>
      <c r="V18" s="92">
        <f t="shared" si="5"/>
        <v>7.6690000000000005</v>
      </c>
      <c r="W18" s="93">
        <f t="shared" si="3"/>
        <v>5.8570000000000002</v>
      </c>
      <c r="X18" s="93">
        <f t="shared" si="3"/>
        <v>2.4359999999999999</v>
      </c>
      <c r="Y18" s="94">
        <f t="shared" si="3"/>
        <v>2.1</v>
      </c>
      <c r="Z18" s="59">
        <f t="shared" si="4"/>
        <v>-0.23627591602555742</v>
      </c>
      <c r="AA18" s="60">
        <f t="shared" si="4"/>
        <v>-0.58408741676626263</v>
      </c>
      <c r="AB18" s="61">
        <f t="shared" si="4"/>
        <v>-0.13793103448275856</v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83">
        <v>0</v>
      </c>
      <c r="G19" s="84">
        <v>0</v>
      </c>
      <c r="H19" s="84">
        <v>0</v>
      </c>
      <c r="I19" s="85">
        <v>0</v>
      </c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>
        <v>0</v>
      </c>
      <c r="O19" s="84">
        <v>0</v>
      </c>
      <c r="P19" s="84">
        <v>0</v>
      </c>
      <c r="Q19" s="85">
        <v>0</v>
      </c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95">
        <f t="shared" si="5"/>
        <v>0</v>
      </c>
      <c r="W19" s="96">
        <f t="shared" si="3"/>
        <v>0</v>
      </c>
      <c r="X19" s="96">
        <f t="shared" si="3"/>
        <v>0</v>
      </c>
      <c r="Y19" s="97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74">
        <v>19.09</v>
      </c>
      <c r="G20" s="75">
        <v>22.501000000000001</v>
      </c>
      <c r="H20" s="75">
        <v>11.587</v>
      </c>
      <c r="I20" s="76">
        <v>10</v>
      </c>
      <c r="J20" s="59">
        <f t="shared" si="1"/>
        <v>0.17867993713986396</v>
      </c>
      <c r="K20" s="60">
        <f t="shared" si="1"/>
        <v>-0.48504510910626197</v>
      </c>
      <c r="L20" s="61">
        <f t="shared" si="1"/>
        <v>-0.13696383878484508</v>
      </c>
      <c r="N20" s="74">
        <v>6.0999999999999999E-2</v>
      </c>
      <c r="O20" s="75">
        <v>0.10100000000000001</v>
      </c>
      <c r="P20" s="75">
        <v>0.1</v>
      </c>
      <c r="Q20" s="76">
        <v>0.1</v>
      </c>
      <c r="R20" s="59">
        <f t="shared" si="2"/>
        <v>0.65573770491803285</v>
      </c>
      <c r="S20" s="60">
        <f t="shared" si="2"/>
        <v>-9.9009900990099098E-3</v>
      </c>
      <c r="T20" s="61">
        <f t="shared" si="2"/>
        <v>0</v>
      </c>
      <c r="V20" s="92">
        <f t="shared" si="5"/>
        <v>19.151</v>
      </c>
      <c r="W20" s="93">
        <f t="shared" si="3"/>
        <v>22.602</v>
      </c>
      <c r="X20" s="93">
        <f t="shared" si="3"/>
        <v>11.686999999999999</v>
      </c>
      <c r="Y20" s="94">
        <f t="shared" si="3"/>
        <v>10.1</v>
      </c>
      <c r="Z20" s="59">
        <f t="shared" si="4"/>
        <v>0.18019946739073678</v>
      </c>
      <c r="AA20" s="60">
        <f t="shared" si="4"/>
        <v>-0.48292186532165293</v>
      </c>
      <c r="AB20" s="61">
        <f t="shared" si="4"/>
        <v>-0.13579190553606568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83">
        <v>0.32800000000000001</v>
      </c>
      <c r="G21" s="84">
        <v>0.71</v>
      </c>
      <c r="H21" s="84">
        <v>0.79700000000000004</v>
      </c>
      <c r="I21" s="85">
        <v>0.5</v>
      </c>
      <c r="J21" s="68">
        <f t="shared" si="1"/>
        <v>1.1646341463414633</v>
      </c>
      <c r="K21" s="69">
        <f t="shared" si="1"/>
        <v>0.12253521126760569</v>
      </c>
      <c r="L21" s="70">
        <f t="shared" si="1"/>
        <v>-0.37264742785445426</v>
      </c>
      <c r="N21" s="83">
        <v>0</v>
      </c>
      <c r="O21" s="84">
        <v>5.0999999999999997E-2</v>
      </c>
      <c r="P21" s="84">
        <v>0</v>
      </c>
      <c r="Q21" s="85">
        <v>0</v>
      </c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95">
        <f t="shared" si="5"/>
        <v>0.32800000000000001</v>
      </c>
      <c r="W21" s="96">
        <f t="shared" si="3"/>
        <v>0.76100000000000001</v>
      </c>
      <c r="X21" s="96">
        <f t="shared" si="3"/>
        <v>0.79700000000000004</v>
      </c>
      <c r="Y21" s="97">
        <f t="shared" si="3"/>
        <v>0.5</v>
      </c>
      <c r="Z21" s="68">
        <f t="shared" si="4"/>
        <v>1.3201219512195119</v>
      </c>
      <c r="AA21" s="69">
        <f t="shared" si="4"/>
        <v>4.7306176084099816E-2</v>
      </c>
      <c r="AB21" s="70">
        <f t="shared" si="4"/>
        <v>-0.37264742785445426</v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77">
        <v>14.671187</v>
      </c>
      <c r="G24" s="78">
        <v>15.701862</v>
      </c>
      <c r="H24" s="78">
        <v>16.028675</v>
      </c>
      <c r="I24" s="79">
        <v>16.5</v>
      </c>
      <c r="J24" s="59">
        <f t="shared" ref="J24:L30" si="6">IF(OR(G24=0,F24=0),"",G24/F24-1)</f>
        <v>7.0251643578668865E-2</v>
      </c>
      <c r="K24" s="60">
        <f t="shared" si="6"/>
        <v>2.0813646177759049E-2</v>
      </c>
      <c r="L24" s="61">
        <f t="shared" si="6"/>
        <v>2.9405113024002283E-2</v>
      </c>
      <c r="N24" s="77">
        <v>0.78534099999999996</v>
      </c>
      <c r="O24" s="78">
        <v>0.83949700000000005</v>
      </c>
      <c r="P24" s="78">
        <v>0.90718699999999997</v>
      </c>
      <c r="Q24" s="79">
        <v>0.9</v>
      </c>
      <c r="R24" s="59">
        <f t="shared" ref="R24:T30" si="7">IF(OR(O24=0,N24=0),"",O24/N24-1)</f>
        <v>6.8958579776173812E-2</v>
      </c>
      <c r="S24" s="60">
        <f t="shared" si="7"/>
        <v>8.0631616313101562E-2</v>
      </c>
      <c r="T24" s="61">
        <f t="shared" si="7"/>
        <v>-7.9222916554139156E-3</v>
      </c>
      <c r="V24" s="86">
        <f t="shared" ref="V24:Y30" si="8">+F24+N24</f>
        <v>15.456528</v>
      </c>
      <c r="W24" s="87">
        <f t="shared" si="8"/>
        <v>16.541359</v>
      </c>
      <c r="X24" s="87">
        <f t="shared" si="8"/>
        <v>16.935862</v>
      </c>
      <c r="Y24" s="88">
        <f t="shared" si="8"/>
        <v>17.399999999999999</v>
      </c>
      <c r="Z24" s="59">
        <f t="shared" ref="Z24:AB30" si="9">IF(OR(W24=0,V24=0),"",W24/V24-1)</f>
        <v>7.0185943440855603E-2</v>
      </c>
      <c r="AA24" s="60">
        <f t="shared" si="9"/>
        <v>2.3849491447468063E-2</v>
      </c>
      <c r="AB24" s="61">
        <f t="shared" si="9"/>
        <v>2.7405631907014838E-2</v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80">
        <v>17.269372000000001</v>
      </c>
      <c r="G25" s="81">
        <v>18.140305000000001</v>
      </c>
      <c r="H25" s="81">
        <v>18.5</v>
      </c>
      <c r="I25" s="82">
        <v>18</v>
      </c>
      <c r="J25" s="68">
        <f t="shared" si="6"/>
        <v>5.0432233436166651E-2</v>
      </c>
      <c r="K25" s="69">
        <f t="shared" si="6"/>
        <v>1.9828497922168342E-2</v>
      </c>
      <c r="L25" s="70">
        <f t="shared" si="6"/>
        <v>-2.7027027027026973E-2</v>
      </c>
      <c r="N25" s="80">
        <v>0.85698600000000003</v>
      </c>
      <c r="O25" s="81">
        <v>0.97474799999999995</v>
      </c>
      <c r="P25" s="81">
        <v>1</v>
      </c>
      <c r="Q25" s="82">
        <v>1</v>
      </c>
      <c r="R25" s="68">
        <f t="shared" si="7"/>
        <v>0.13741414678886232</v>
      </c>
      <c r="S25" s="69">
        <f t="shared" si="7"/>
        <v>2.5906182931383359E-2</v>
      </c>
      <c r="T25" s="70">
        <f t="shared" si="7"/>
        <v>0</v>
      </c>
      <c r="V25" s="89">
        <f t="shared" si="8"/>
        <v>18.126358</v>
      </c>
      <c r="W25" s="90">
        <f t="shared" si="8"/>
        <v>19.115053000000003</v>
      </c>
      <c r="X25" s="90">
        <f t="shared" si="8"/>
        <v>19.5</v>
      </c>
      <c r="Y25" s="91">
        <f t="shared" si="8"/>
        <v>19</v>
      </c>
      <c r="Z25" s="68">
        <f t="shared" si="9"/>
        <v>5.4544602947818044E-2</v>
      </c>
      <c r="AA25" s="69">
        <f t="shared" si="9"/>
        <v>2.013842179773162E-2</v>
      </c>
      <c r="AB25" s="70">
        <f t="shared" si="9"/>
        <v>-2.5641025641025661E-2</v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98">
        <f>+F24+F25</f>
        <v>31.940559</v>
      </c>
      <c r="G26" s="99">
        <f>+G24+G25</f>
        <v>33.842167000000003</v>
      </c>
      <c r="H26" s="99">
        <f>+H24+H25</f>
        <v>34.528675</v>
      </c>
      <c r="I26" s="100">
        <f>+I24+I25</f>
        <v>34.5</v>
      </c>
      <c r="J26" s="68">
        <f t="shared" si="6"/>
        <v>5.9535839682705705E-2</v>
      </c>
      <c r="K26" s="69">
        <f t="shared" si="6"/>
        <v>2.0285580412152671E-2</v>
      </c>
      <c r="L26" s="70">
        <f t="shared" si="6"/>
        <v>-8.3046916801754467E-4</v>
      </c>
      <c r="M26" s="7"/>
      <c r="N26" s="98">
        <f>+N24+N25</f>
        <v>1.6423269999999999</v>
      </c>
      <c r="O26" s="99">
        <f>+O24+O25</f>
        <v>1.8142450000000001</v>
      </c>
      <c r="P26" s="99">
        <f>+P24+P25</f>
        <v>1.907187</v>
      </c>
      <c r="Q26" s="100">
        <f>+Q24+Q25</f>
        <v>1.9</v>
      </c>
      <c r="R26" s="68">
        <f t="shared" si="7"/>
        <v>0.10467951875600923</v>
      </c>
      <c r="S26" s="69">
        <f t="shared" si="7"/>
        <v>5.1229023643443838E-2</v>
      </c>
      <c r="T26" s="70">
        <f t="shared" si="7"/>
        <v>-3.7683771963630264E-3</v>
      </c>
      <c r="U26" s="7"/>
      <c r="V26" s="98">
        <f>+V24+V25</f>
        <v>33.582886000000002</v>
      </c>
      <c r="W26" s="99">
        <f>+W24+W25</f>
        <v>35.656412000000003</v>
      </c>
      <c r="X26" s="99">
        <f>+X24+X25</f>
        <v>36.435862</v>
      </c>
      <c r="Y26" s="100">
        <f>+Y24+Y25</f>
        <v>36.4</v>
      </c>
      <c r="Z26" s="68">
        <f t="shared" si="9"/>
        <v>6.174353210739536E-2</v>
      </c>
      <c r="AA26" s="69">
        <f t="shared" si="9"/>
        <v>2.1860023380927851E-2</v>
      </c>
      <c r="AB26" s="70">
        <f t="shared" si="9"/>
        <v>-9.8425007757474425E-4</v>
      </c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74">
        <v>10.435</v>
      </c>
      <c r="G27" s="75">
        <v>10.189</v>
      </c>
      <c r="H27" s="75">
        <v>10</v>
      </c>
      <c r="I27" s="76">
        <v>10</v>
      </c>
      <c r="J27" s="59">
        <f t="shared" si="6"/>
        <v>-2.3574508864398713E-2</v>
      </c>
      <c r="K27" s="60">
        <f t="shared" si="6"/>
        <v>-1.8549416036902522E-2</v>
      </c>
      <c r="L27" s="61">
        <f t="shared" si="6"/>
        <v>0</v>
      </c>
      <c r="N27" s="74"/>
      <c r="O27" s="75"/>
      <c r="P27" s="75"/>
      <c r="Q27" s="76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92">
        <f t="shared" si="8"/>
        <v>10.435</v>
      </c>
      <c r="W27" s="93">
        <f t="shared" si="8"/>
        <v>10.189</v>
      </c>
      <c r="X27" s="93">
        <f t="shared" si="8"/>
        <v>10</v>
      </c>
      <c r="Y27" s="94">
        <f t="shared" si="8"/>
        <v>10</v>
      </c>
      <c r="Z27" s="59">
        <f t="shared" si="9"/>
        <v>-2.3574508864398713E-2</v>
      </c>
      <c r="AA27" s="60">
        <f t="shared" si="9"/>
        <v>-1.8549416036902522E-2</v>
      </c>
      <c r="AB27" s="61">
        <f t="shared" si="9"/>
        <v>0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83">
        <v>0</v>
      </c>
      <c r="G28" s="84">
        <v>3.0000000000000001E-3</v>
      </c>
      <c r="H28" s="84">
        <v>5.1999999999999998E-2</v>
      </c>
      <c r="I28" s="85">
        <v>0.1</v>
      </c>
      <c r="J28" s="68" t="str">
        <f t="shared" si="6"/>
        <v/>
      </c>
      <c r="K28" s="69">
        <f t="shared" si="6"/>
        <v>16.333333333333332</v>
      </c>
      <c r="L28" s="70">
        <f t="shared" si="6"/>
        <v>0.92307692307692335</v>
      </c>
      <c r="N28" s="83"/>
      <c r="O28" s="84"/>
      <c r="P28" s="84"/>
      <c r="Q28" s="85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95">
        <f t="shared" si="8"/>
        <v>0</v>
      </c>
      <c r="W28" s="96">
        <f t="shared" si="8"/>
        <v>3.0000000000000001E-3</v>
      </c>
      <c r="X28" s="96">
        <f t="shared" si="8"/>
        <v>5.1999999999999998E-2</v>
      </c>
      <c r="Y28" s="97">
        <f t="shared" si="8"/>
        <v>0.1</v>
      </c>
      <c r="Z28" s="68" t="str">
        <f t="shared" si="9"/>
        <v/>
      </c>
      <c r="AA28" s="69">
        <f t="shared" si="9"/>
        <v>16.333333333333332</v>
      </c>
      <c r="AB28" s="70">
        <f t="shared" si="9"/>
        <v>0.92307692307692335</v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74">
        <v>3.508</v>
      </c>
      <c r="G29" s="75">
        <v>3.3849999999999998</v>
      </c>
      <c r="H29" s="75">
        <v>3.5</v>
      </c>
      <c r="I29" s="76">
        <v>3.5</v>
      </c>
      <c r="J29" s="59">
        <f t="shared" si="6"/>
        <v>-3.5062713797035405E-2</v>
      </c>
      <c r="K29" s="60">
        <f t="shared" si="6"/>
        <v>3.3973412112260126E-2</v>
      </c>
      <c r="L29" s="61">
        <f t="shared" si="6"/>
        <v>0</v>
      </c>
      <c r="N29" s="74"/>
      <c r="O29" s="75"/>
      <c r="P29" s="75"/>
      <c r="Q29" s="76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92">
        <f t="shared" si="8"/>
        <v>3.508</v>
      </c>
      <c r="W29" s="93">
        <f t="shared" si="8"/>
        <v>3.3849999999999998</v>
      </c>
      <c r="X29" s="93">
        <f t="shared" si="8"/>
        <v>3.5</v>
      </c>
      <c r="Y29" s="94">
        <f t="shared" si="8"/>
        <v>3.5</v>
      </c>
      <c r="Z29" s="59">
        <f t="shared" si="9"/>
        <v>-3.5062713797035405E-2</v>
      </c>
      <c r="AA29" s="60">
        <f t="shared" si="9"/>
        <v>3.3973412112260126E-2</v>
      </c>
      <c r="AB29" s="61">
        <f t="shared" si="9"/>
        <v>0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83">
        <v>2.452</v>
      </c>
      <c r="G30" s="84">
        <v>2.4590000000000001</v>
      </c>
      <c r="H30" s="84">
        <v>2.2000000000000002</v>
      </c>
      <c r="I30" s="85">
        <v>2.2000000000000002</v>
      </c>
      <c r="J30" s="68">
        <f t="shared" si="6"/>
        <v>2.8548123980425277E-3</v>
      </c>
      <c r="K30" s="69">
        <f t="shared" si="6"/>
        <v>-0.10532736884912564</v>
      </c>
      <c r="L30" s="70">
        <f t="shared" si="6"/>
        <v>0</v>
      </c>
      <c r="N30" s="83"/>
      <c r="O30" s="84"/>
      <c r="P30" s="84"/>
      <c r="Q30" s="85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95">
        <f t="shared" si="8"/>
        <v>2.452</v>
      </c>
      <c r="W30" s="96">
        <f t="shared" si="8"/>
        <v>2.4590000000000001</v>
      </c>
      <c r="X30" s="96">
        <f t="shared" si="8"/>
        <v>2.2000000000000002</v>
      </c>
      <c r="Y30" s="97">
        <f t="shared" si="8"/>
        <v>2.2000000000000002</v>
      </c>
      <c r="Z30" s="65">
        <f t="shared" si="9"/>
        <v>2.8548123980425277E-3</v>
      </c>
      <c r="AA30" s="66">
        <f t="shared" si="9"/>
        <v>-0.10532736884912564</v>
      </c>
      <c r="AB30" s="67">
        <f t="shared" si="9"/>
        <v>0</v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77"/>
      <c r="G33" s="78"/>
      <c r="H33" s="78"/>
      <c r="I33" s="79"/>
      <c r="J33" s="62" t="str">
        <f t="shared" ref="J33:L36" si="10">IF(OR(G33=0,F33=0),"",G33/F33-1)</f>
        <v/>
      </c>
      <c r="K33" s="63" t="str">
        <f t="shared" si="10"/>
        <v/>
      </c>
      <c r="L33" s="64" t="str">
        <f t="shared" si="10"/>
        <v/>
      </c>
      <c r="N33" s="77"/>
      <c r="O33" s="78"/>
      <c r="P33" s="78"/>
      <c r="Q33" s="79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86">
        <f t="shared" ref="V33:Y34" si="12">+F33+N33</f>
        <v>0</v>
      </c>
      <c r="W33" s="87">
        <f t="shared" si="12"/>
        <v>0</v>
      </c>
      <c r="X33" s="87">
        <f t="shared" si="12"/>
        <v>0</v>
      </c>
      <c r="Y33" s="88">
        <f t="shared" si="12"/>
        <v>0</v>
      </c>
      <c r="Z33" s="62" t="str">
        <f t="shared" ref="Z33:AB36" si="13">IF(OR(W33=0,V33=0),"",W33/V33-1)</f>
        <v/>
      </c>
      <c r="AA33" s="63" t="str">
        <f t="shared" si="13"/>
        <v/>
      </c>
      <c r="AB33" s="64" t="str">
        <f t="shared" si="13"/>
        <v/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80">
        <f>F26+(F27+F28)-(F29+F30)</f>
        <v>36.415559000000002</v>
      </c>
      <c r="G34" s="80">
        <f>G26+(G27+G28)-(G29+G30)</f>
        <v>38.190167000000002</v>
      </c>
      <c r="H34" s="80">
        <f>H26+(H27+H28)-(H29+H30)</f>
        <v>38.880674999999997</v>
      </c>
      <c r="I34" s="80">
        <f>I26+(I27+I28)-(I29+I30)</f>
        <v>38.9</v>
      </c>
      <c r="J34" s="65">
        <f t="shared" si="10"/>
        <v>4.8732136722108299E-2</v>
      </c>
      <c r="K34" s="66">
        <f t="shared" si="10"/>
        <v>1.8080779798632207E-2</v>
      </c>
      <c r="L34" s="67">
        <f t="shared" si="10"/>
        <v>4.9703355201535793E-4</v>
      </c>
      <c r="N34" s="80"/>
      <c r="O34" s="81"/>
      <c r="P34" s="81"/>
      <c r="Q34" s="82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89">
        <f t="shared" si="12"/>
        <v>36.415559000000002</v>
      </c>
      <c r="W34" s="90">
        <f t="shared" si="12"/>
        <v>38.190167000000002</v>
      </c>
      <c r="X34" s="90">
        <f t="shared" si="12"/>
        <v>38.880674999999997</v>
      </c>
      <c r="Y34" s="91">
        <f t="shared" si="12"/>
        <v>38.9</v>
      </c>
      <c r="Z34" s="65">
        <f t="shared" si="13"/>
        <v>4.8732136722108299E-2</v>
      </c>
      <c r="AA34" s="66">
        <f t="shared" si="13"/>
        <v>1.8080779798632207E-2</v>
      </c>
      <c r="AB34" s="67">
        <f t="shared" si="13"/>
        <v>4.9703355201535793E-4</v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98">
        <f>+F33+F34</f>
        <v>36.415559000000002</v>
      </c>
      <c r="G35" s="99">
        <f>+G33+G34</f>
        <v>38.190167000000002</v>
      </c>
      <c r="H35" s="99">
        <f>+H33+H34</f>
        <v>38.880674999999997</v>
      </c>
      <c r="I35" s="100">
        <f>+I33+I34</f>
        <v>38.9</v>
      </c>
      <c r="J35" s="68">
        <f t="shared" si="10"/>
        <v>4.8732136722108299E-2</v>
      </c>
      <c r="K35" s="69">
        <f t="shared" si="10"/>
        <v>1.8080779798632207E-2</v>
      </c>
      <c r="L35" s="70">
        <f t="shared" si="10"/>
        <v>4.9703355201535793E-4</v>
      </c>
      <c r="M35" s="7"/>
      <c r="N35" s="98">
        <f>+N33+N34</f>
        <v>0</v>
      </c>
      <c r="O35" s="99">
        <f>+O33+O34</f>
        <v>0</v>
      </c>
      <c r="P35" s="99">
        <f>+P33+P34</f>
        <v>0</v>
      </c>
      <c r="Q35" s="100">
        <f>+Q33+Q34</f>
        <v>0</v>
      </c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7"/>
      <c r="V35" s="98">
        <f>+V33+V34</f>
        <v>36.415559000000002</v>
      </c>
      <c r="W35" s="99">
        <f>+W33+W34</f>
        <v>38.190167000000002</v>
      </c>
      <c r="X35" s="99">
        <f>+X33+X34</f>
        <v>38.880674999999997</v>
      </c>
      <c r="Y35" s="100">
        <f>+Y33+Y34</f>
        <v>38.9</v>
      </c>
      <c r="Z35" s="68">
        <f t="shared" si="13"/>
        <v>4.8732136722108299E-2</v>
      </c>
      <c r="AA35" s="69">
        <f t="shared" si="13"/>
        <v>1.8080779798632207E-2</v>
      </c>
      <c r="AB35" s="70">
        <f t="shared" si="13"/>
        <v>4.9703355201535793E-4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83">
        <f>(F34/2063077)*1000000</f>
        <v>17.651090579750537</v>
      </c>
      <c r="G36" s="83">
        <f>(G34/2064241)*1000000</f>
        <v>18.500827664986794</v>
      </c>
      <c r="H36" s="83">
        <f>(H34/2064241)*1000000</f>
        <v>18.835337056089866</v>
      </c>
      <c r="I36" s="83">
        <f>(I34/2064241)*1000000</f>
        <v>18.844698850570261</v>
      </c>
      <c r="J36" s="68">
        <f t="shared" si="10"/>
        <v>4.8140769625367064E-2</v>
      </c>
      <c r="K36" s="69">
        <f t="shared" si="10"/>
        <v>1.8080779798632429E-2</v>
      </c>
      <c r="L36" s="70">
        <f t="shared" si="10"/>
        <v>4.9703355201535793E-4</v>
      </c>
      <c r="N36" s="83"/>
      <c r="O36" s="84"/>
      <c r="P36" s="84"/>
      <c r="Q36" s="85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95">
        <f>+F36+N36</f>
        <v>17.651090579750537</v>
      </c>
      <c r="W36" s="96">
        <f>+G36+O36</f>
        <v>18.500827664986794</v>
      </c>
      <c r="X36" s="96">
        <f>+H36+P36</f>
        <v>18.835337056089866</v>
      </c>
      <c r="Y36" s="97">
        <f>+I36+Q36</f>
        <v>18.844698850570261</v>
      </c>
      <c r="Z36" s="68">
        <f t="shared" si="13"/>
        <v>4.8140769625367064E-2</v>
      </c>
      <c r="AA36" s="69">
        <f t="shared" si="13"/>
        <v>1.8080779798632429E-2</v>
      </c>
      <c r="AB36" s="70">
        <f t="shared" si="13"/>
        <v>4.9703355201535793E-4</v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101">
        <v>353.88</v>
      </c>
      <c r="G42" s="102">
        <v>337.02</v>
      </c>
      <c r="H42" s="102">
        <v>341.48</v>
      </c>
      <c r="I42" s="103">
        <v>342</v>
      </c>
      <c r="J42" s="62">
        <f t="shared" ref="J42:L44" si="14">IF(OR(G42=0,F42=0),"",G42/F42-1)</f>
        <v>-4.7643268904713487E-2</v>
      </c>
      <c r="K42" s="63">
        <f t="shared" si="14"/>
        <v>1.3233635985995029E-2</v>
      </c>
      <c r="L42" s="64">
        <f t="shared" si="14"/>
        <v>1.5227831791027047E-3</v>
      </c>
      <c r="N42" s="101"/>
      <c r="O42" s="102"/>
      <c r="P42" s="102"/>
      <c r="Q42" s="103"/>
      <c r="R42" s="62" t="str">
        <f t="shared" ref="R42:T44" si="15">IF(OR(O42=0,N42=0),"",O42/N42-1)</f>
        <v/>
      </c>
      <c r="S42" s="63" t="str">
        <f t="shared" si="15"/>
        <v/>
      </c>
      <c r="T42" s="64" t="str">
        <f t="shared" si="15"/>
        <v/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104">
        <v>343.16</v>
      </c>
      <c r="G43" s="105">
        <v>332.61</v>
      </c>
      <c r="H43" s="105">
        <v>339</v>
      </c>
      <c r="I43" s="106">
        <v>340</v>
      </c>
      <c r="J43" s="65">
        <f t="shared" si="14"/>
        <v>-3.0743676419163091E-2</v>
      </c>
      <c r="K43" s="66">
        <f t="shared" si="14"/>
        <v>1.921168936592399E-2</v>
      </c>
      <c r="L43" s="67">
        <f t="shared" si="14"/>
        <v>2.9498525073745618E-3</v>
      </c>
      <c r="N43" s="104"/>
      <c r="O43" s="105"/>
      <c r="P43" s="105"/>
      <c r="Q43" s="106"/>
      <c r="R43" s="65" t="str">
        <f t="shared" si="15"/>
        <v/>
      </c>
      <c r="S43" s="66" t="str">
        <f t="shared" si="15"/>
        <v/>
      </c>
      <c r="T43" s="67" t="str">
        <f t="shared" si="15"/>
        <v/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348.52</v>
      </c>
      <c r="G44" s="108">
        <f>(G42+G43)/2</f>
        <v>334.815</v>
      </c>
      <c r="H44" s="108">
        <f>(H42+H43)/2</f>
        <v>340.24</v>
      </c>
      <c r="I44" s="109">
        <f>(I42+I43)/2</f>
        <v>341</v>
      </c>
      <c r="J44" s="68">
        <f t="shared" si="14"/>
        <v>-3.9323424767588655E-2</v>
      </c>
      <c r="K44" s="69">
        <f t="shared" si="14"/>
        <v>1.6202977763839721E-2</v>
      </c>
      <c r="L44" s="70">
        <f t="shared" si="14"/>
        <v>2.2337173759698903E-3</v>
      </c>
      <c r="M44" s="7"/>
      <c r="N44" s="107">
        <f>(N42+N43)/2</f>
        <v>0</v>
      </c>
      <c r="O44" s="108">
        <f>(O42+O43)/2</f>
        <v>0</v>
      </c>
      <c r="P44" s="108">
        <f>(P42+P43)/2</f>
        <v>0</v>
      </c>
      <c r="Q44" s="109">
        <f>(Q42+Q43)/2</f>
        <v>0</v>
      </c>
      <c r="R44" s="68" t="str">
        <f t="shared" si="15"/>
        <v/>
      </c>
      <c r="S44" s="69" t="str">
        <f t="shared" si="15"/>
        <v/>
      </c>
      <c r="T44" s="70" t="str">
        <f t="shared" si="15"/>
        <v/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1">
        <v>228.29</v>
      </c>
      <c r="G48" s="102">
        <v>211.76</v>
      </c>
      <c r="H48" s="102">
        <v>216.77</v>
      </c>
      <c r="I48" s="103">
        <v>220</v>
      </c>
      <c r="J48" s="62">
        <f t="shared" ref="J48:L50" si="16">IF(OR(G48=0,F48=0),"",G48/F48-1)</f>
        <v>-7.2407902229620236E-2</v>
      </c>
      <c r="K48" s="63">
        <f t="shared" si="16"/>
        <v>2.36588590857576E-2</v>
      </c>
      <c r="L48" s="64">
        <f t="shared" si="16"/>
        <v>1.4900585874429106E-2</v>
      </c>
      <c r="N48" s="101">
        <v>326.61</v>
      </c>
      <c r="O48" s="102">
        <v>325.5</v>
      </c>
      <c r="P48" s="102">
        <v>329.36</v>
      </c>
      <c r="Q48" s="103"/>
      <c r="R48" s="62">
        <f t="shared" ref="R48:T50" si="17">IF(OR(O48=0,N48=0),"",O48/N48-1)</f>
        <v>-3.3985487278406223E-3</v>
      </c>
      <c r="S48" s="63">
        <f t="shared" si="17"/>
        <v>1.1858678955453117E-2</v>
      </c>
      <c r="T48" s="64" t="str">
        <f t="shared" si="17"/>
        <v/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4">
        <v>232.86</v>
      </c>
      <c r="G49" s="105">
        <v>212.37</v>
      </c>
      <c r="H49" s="105">
        <v>220</v>
      </c>
      <c r="I49" s="106">
        <v>222</v>
      </c>
      <c r="J49" s="65">
        <f t="shared" si="16"/>
        <v>-8.7992785364596759E-2</v>
      </c>
      <c r="K49" s="66">
        <f t="shared" si="16"/>
        <v>3.592786175071816E-2</v>
      </c>
      <c r="L49" s="67">
        <f t="shared" si="16"/>
        <v>9.0909090909090384E-3</v>
      </c>
      <c r="N49" s="104">
        <v>351.61</v>
      </c>
      <c r="O49" s="105">
        <v>273.41000000000003</v>
      </c>
      <c r="P49" s="105"/>
      <c r="Q49" s="106"/>
      <c r="R49" s="65">
        <f t="shared" si="17"/>
        <v>-0.22240550610050902</v>
      </c>
      <c r="S49" s="66" t="str">
        <f t="shared" si="17"/>
        <v/>
      </c>
      <c r="T49" s="67" t="str">
        <f t="shared" si="17"/>
        <v/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f>(F48+F49)/2</f>
        <v>230.57499999999999</v>
      </c>
      <c r="G50" s="108">
        <f>(G48+G49)/2</f>
        <v>212.065</v>
      </c>
      <c r="H50" s="108">
        <f>(H48+H49)/2</f>
        <v>218.38499999999999</v>
      </c>
      <c r="I50" s="109">
        <f>(I48+I49)/2</f>
        <v>221</v>
      </c>
      <c r="J50" s="68">
        <f t="shared" si="16"/>
        <v>-8.0277566952184687E-2</v>
      </c>
      <c r="K50" s="69">
        <f t="shared" si="16"/>
        <v>2.9802183292858331E-2</v>
      </c>
      <c r="L50" s="70">
        <f t="shared" si="16"/>
        <v>1.1974265631797154E-2</v>
      </c>
      <c r="M50" s="7"/>
      <c r="N50" s="107">
        <f>(N48+N49)/2</f>
        <v>339.11</v>
      </c>
      <c r="O50" s="108">
        <f>(O48+O49)/2</f>
        <v>299.45500000000004</v>
      </c>
      <c r="P50" s="108">
        <f>(P48+P49)/2</f>
        <v>164.68</v>
      </c>
      <c r="Q50" s="109">
        <f>(Q48+Q49)/2</f>
        <v>0</v>
      </c>
      <c r="R50" s="68">
        <f t="shared" si="17"/>
        <v>-0.11693845654802271</v>
      </c>
      <c r="S50" s="69">
        <f t="shared" si="17"/>
        <v>-0.45006762284817425</v>
      </c>
      <c r="T50" s="70" t="str">
        <f t="shared" si="17"/>
        <v/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F44:T44 F17:AB17 F26:I26 V33:AB33 V36:Y36 F35:AB35 V34:Y34 V30:Y30 V24:Y25 V29:AB29 V27:Y28 V18:Y21 V15:Y16 U26:Y26 M26:Q26">
    <cfRule type="cellIs" dxfId="11" priority="3" stopIfTrue="1" operator="equal">
      <formula>0</formula>
    </cfRule>
  </conditionalFormatting>
  <conditionalFormatting sqref="N50:T50">
    <cfRule type="cellIs" dxfId="10" priority="2" stopIfTrue="1" operator="equal">
      <formula>0</formula>
    </cfRule>
  </conditionalFormatting>
  <conditionalFormatting sqref="F12:I12">
    <cfRule type="cellIs" dxfId="9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M58"/>
  <sheetViews>
    <sheetView showGridLines="0" zoomScale="60" zoomScaleNormal="60" workbookViewId="0">
      <selection activeCell="M5" sqref="M5"/>
    </sheetView>
  </sheetViews>
  <sheetFormatPr defaultRowHeight="15.75" x14ac:dyDescent="0.25"/>
  <cols>
    <col min="1" max="1" width="2.75" style="122" customWidth="1"/>
    <col min="2" max="2" width="18.875" style="122" customWidth="1"/>
    <col min="3" max="3" width="26.625" style="122" customWidth="1"/>
    <col min="4" max="4" width="14.375" style="122" customWidth="1"/>
    <col min="5" max="5" width="3.25" style="122" customWidth="1"/>
    <col min="6" max="9" width="12.375" style="122" customWidth="1"/>
    <col min="10" max="10" width="9.25" style="122" customWidth="1"/>
    <col min="11" max="12" width="7" style="122" customWidth="1"/>
    <col min="13" max="13" width="3.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6" width="10.25" style="122" customWidth="1"/>
    <col min="27" max="28" width="7" style="122" customWidth="1"/>
    <col min="29" max="256" width="9" style="122"/>
    <col min="257" max="257" width="2.7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25" style="122" customWidth="1"/>
    <col min="262" max="265" width="12.375" style="122" customWidth="1"/>
    <col min="266" max="266" width="9.25" style="122" customWidth="1"/>
    <col min="267" max="268" width="7" style="122" customWidth="1"/>
    <col min="269" max="269" width="3.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2" width="10.25" style="122" customWidth="1"/>
    <col min="283" max="284" width="7" style="122" customWidth="1"/>
    <col min="285" max="512" width="9" style="122"/>
    <col min="513" max="513" width="2.7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25" style="122" customWidth="1"/>
    <col min="518" max="521" width="12.375" style="122" customWidth="1"/>
    <col min="522" max="522" width="9.25" style="122" customWidth="1"/>
    <col min="523" max="524" width="7" style="122" customWidth="1"/>
    <col min="525" max="525" width="3.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38" width="10.25" style="122" customWidth="1"/>
    <col min="539" max="540" width="7" style="122" customWidth="1"/>
    <col min="541" max="768" width="9" style="122"/>
    <col min="769" max="769" width="2.7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25" style="122" customWidth="1"/>
    <col min="774" max="777" width="12.375" style="122" customWidth="1"/>
    <col min="778" max="778" width="9.25" style="122" customWidth="1"/>
    <col min="779" max="780" width="7" style="122" customWidth="1"/>
    <col min="781" max="781" width="3.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4" width="10.25" style="122" customWidth="1"/>
    <col min="795" max="796" width="7" style="122" customWidth="1"/>
    <col min="797" max="1024" width="9" style="122"/>
    <col min="1025" max="1025" width="2.7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25" style="122" customWidth="1"/>
    <col min="1030" max="1033" width="12.375" style="122" customWidth="1"/>
    <col min="1034" max="1034" width="9.25" style="122" customWidth="1"/>
    <col min="1035" max="1036" width="7" style="122" customWidth="1"/>
    <col min="1037" max="1037" width="3.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0" width="10.25" style="122" customWidth="1"/>
    <col min="1051" max="1052" width="7" style="122" customWidth="1"/>
    <col min="1053" max="1280" width="9" style="122"/>
    <col min="1281" max="1281" width="2.7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25" style="122" customWidth="1"/>
    <col min="1286" max="1289" width="12.375" style="122" customWidth="1"/>
    <col min="1290" max="1290" width="9.25" style="122" customWidth="1"/>
    <col min="1291" max="1292" width="7" style="122" customWidth="1"/>
    <col min="1293" max="1293" width="3.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6" width="10.25" style="122" customWidth="1"/>
    <col min="1307" max="1308" width="7" style="122" customWidth="1"/>
    <col min="1309" max="1536" width="9" style="122"/>
    <col min="1537" max="1537" width="2.7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25" style="122" customWidth="1"/>
    <col min="1542" max="1545" width="12.375" style="122" customWidth="1"/>
    <col min="1546" max="1546" width="9.25" style="122" customWidth="1"/>
    <col min="1547" max="1548" width="7" style="122" customWidth="1"/>
    <col min="1549" max="1549" width="3.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2" width="10.25" style="122" customWidth="1"/>
    <col min="1563" max="1564" width="7" style="122" customWidth="1"/>
    <col min="1565" max="1792" width="9" style="122"/>
    <col min="1793" max="1793" width="2.7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25" style="122" customWidth="1"/>
    <col min="1798" max="1801" width="12.375" style="122" customWidth="1"/>
    <col min="1802" max="1802" width="9.25" style="122" customWidth="1"/>
    <col min="1803" max="1804" width="7" style="122" customWidth="1"/>
    <col min="1805" max="1805" width="3.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18" width="10.25" style="122" customWidth="1"/>
    <col min="1819" max="1820" width="7" style="122" customWidth="1"/>
    <col min="1821" max="2048" width="9" style="122"/>
    <col min="2049" max="2049" width="2.7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25" style="122" customWidth="1"/>
    <col min="2054" max="2057" width="12.375" style="122" customWidth="1"/>
    <col min="2058" max="2058" width="9.25" style="122" customWidth="1"/>
    <col min="2059" max="2060" width="7" style="122" customWidth="1"/>
    <col min="2061" max="2061" width="3.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4" width="10.25" style="122" customWidth="1"/>
    <col min="2075" max="2076" width="7" style="122" customWidth="1"/>
    <col min="2077" max="2304" width="9" style="122"/>
    <col min="2305" max="2305" width="2.7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25" style="122" customWidth="1"/>
    <col min="2310" max="2313" width="12.375" style="122" customWidth="1"/>
    <col min="2314" max="2314" width="9.25" style="122" customWidth="1"/>
    <col min="2315" max="2316" width="7" style="122" customWidth="1"/>
    <col min="2317" max="2317" width="3.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0" width="10.25" style="122" customWidth="1"/>
    <col min="2331" max="2332" width="7" style="122" customWidth="1"/>
    <col min="2333" max="2560" width="9" style="122"/>
    <col min="2561" max="2561" width="2.7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25" style="122" customWidth="1"/>
    <col min="2566" max="2569" width="12.375" style="122" customWidth="1"/>
    <col min="2570" max="2570" width="9.25" style="122" customWidth="1"/>
    <col min="2571" max="2572" width="7" style="122" customWidth="1"/>
    <col min="2573" max="2573" width="3.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6" width="10.25" style="122" customWidth="1"/>
    <col min="2587" max="2588" width="7" style="122" customWidth="1"/>
    <col min="2589" max="2816" width="9" style="122"/>
    <col min="2817" max="2817" width="2.7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25" style="122" customWidth="1"/>
    <col min="2822" max="2825" width="12.375" style="122" customWidth="1"/>
    <col min="2826" max="2826" width="9.25" style="122" customWidth="1"/>
    <col min="2827" max="2828" width="7" style="122" customWidth="1"/>
    <col min="2829" max="2829" width="3.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2" width="10.25" style="122" customWidth="1"/>
    <col min="2843" max="2844" width="7" style="122" customWidth="1"/>
    <col min="2845" max="3072" width="9" style="122"/>
    <col min="3073" max="3073" width="2.7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25" style="122" customWidth="1"/>
    <col min="3078" max="3081" width="12.375" style="122" customWidth="1"/>
    <col min="3082" max="3082" width="9.25" style="122" customWidth="1"/>
    <col min="3083" max="3084" width="7" style="122" customWidth="1"/>
    <col min="3085" max="3085" width="3.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098" width="10.25" style="122" customWidth="1"/>
    <col min="3099" max="3100" width="7" style="122" customWidth="1"/>
    <col min="3101" max="3328" width="9" style="122"/>
    <col min="3329" max="3329" width="2.7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25" style="122" customWidth="1"/>
    <col min="3334" max="3337" width="12.375" style="122" customWidth="1"/>
    <col min="3338" max="3338" width="9.25" style="122" customWidth="1"/>
    <col min="3339" max="3340" width="7" style="122" customWidth="1"/>
    <col min="3341" max="3341" width="3.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4" width="10.25" style="122" customWidth="1"/>
    <col min="3355" max="3356" width="7" style="122" customWidth="1"/>
    <col min="3357" max="3584" width="9" style="122"/>
    <col min="3585" max="3585" width="2.7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25" style="122" customWidth="1"/>
    <col min="3590" max="3593" width="12.375" style="122" customWidth="1"/>
    <col min="3594" max="3594" width="9.25" style="122" customWidth="1"/>
    <col min="3595" max="3596" width="7" style="122" customWidth="1"/>
    <col min="3597" max="3597" width="3.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0" width="10.25" style="122" customWidth="1"/>
    <col min="3611" max="3612" width="7" style="122" customWidth="1"/>
    <col min="3613" max="3840" width="9" style="122"/>
    <col min="3841" max="3841" width="2.7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25" style="122" customWidth="1"/>
    <col min="3846" max="3849" width="12.375" style="122" customWidth="1"/>
    <col min="3850" max="3850" width="9.25" style="122" customWidth="1"/>
    <col min="3851" max="3852" width="7" style="122" customWidth="1"/>
    <col min="3853" max="3853" width="3.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6" width="10.25" style="122" customWidth="1"/>
    <col min="3867" max="3868" width="7" style="122" customWidth="1"/>
    <col min="3869" max="4096" width="9" style="122"/>
    <col min="4097" max="4097" width="2.7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25" style="122" customWidth="1"/>
    <col min="4102" max="4105" width="12.375" style="122" customWidth="1"/>
    <col min="4106" max="4106" width="9.25" style="122" customWidth="1"/>
    <col min="4107" max="4108" width="7" style="122" customWidth="1"/>
    <col min="4109" max="4109" width="3.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2" width="10.25" style="122" customWidth="1"/>
    <col min="4123" max="4124" width="7" style="122" customWidth="1"/>
    <col min="4125" max="4352" width="9" style="122"/>
    <col min="4353" max="4353" width="2.7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25" style="122" customWidth="1"/>
    <col min="4358" max="4361" width="12.375" style="122" customWidth="1"/>
    <col min="4362" max="4362" width="9.25" style="122" customWidth="1"/>
    <col min="4363" max="4364" width="7" style="122" customWidth="1"/>
    <col min="4365" max="4365" width="3.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78" width="10.25" style="122" customWidth="1"/>
    <col min="4379" max="4380" width="7" style="122" customWidth="1"/>
    <col min="4381" max="4608" width="9" style="122"/>
    <col min="4609" max="4609" width="2.7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25" style="122" customWidth="1"/>
    <col min="4614" max="4617" width="12.375" style="122" customWidth="1"/>
    <col min="4618" max="4618" width="9.25" style="122" customWidth="1"/>
    <col min="4619" max="4620" width="7" style="122" customWidth="1"/>
    <col min="4621" max="4621" width="3.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4" width="10.25" style="122" customWidth="1"/>
    <col min="4635" max="4636" width="7" style="122" customWidth="1"/>
    <col min="4637" max="4864" width="9" style="122"/>
    <col min="4865" max="4865" width="2.7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25" style="122" customWidth="1"/>
    <col min="4870" max="4873" width="12.375" style="122" customWidth="1"/>
    <col min="4874" max="4874" width="9.25" style="122" customWidth="1"/>
    <col min="4875" max="4876" width="7" style="122" customWidth="1"/>
    <col min="4877" max="4877" width="3.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0" width="10.25" style="122" customWidth="1"/>
    <col min="4891" max="4892" width="7" style="122" customWidth="1"/>
    <col min="4893" max="5120" width="9" style="122"/>
    <col min="5121" max="5121" width="2.7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25" style="122" customWidth="1"/>
    <col min="5126" max="5129" width="12.375" style="122" customWidth="1"/>
    <col min="5130" max="5130" width="9.25" style="122" customWidth="1"/>
    <col min="5131" max="5132" width="7" style="122" customWidth="1"/>
    <col min="5133" max="5133" width="3.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6" width="10.25" style="122" customWidth="1"/>
    <col min="5147" max="5148" width="7" style="122" customWidth="1"/>
    <col min="5149" max="5376" width="9" style="122"/>
    <col min="5377" max="5377" width="2.7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25" style="122" customWidth="1"/>
    <col min="5382" max="5385" width="12.375" style="122" customWidth="1"/>
    <col min="5386" max="5386" width="9.25" style="122" customWidth="1"/>
    <col min="5387" max="5388" width="7" style="122" customWidth="1"/>
    <col min="5389" max="5389" width="3.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2" width="10.25" style="122" customWidth="1"/>
    <col min="5403" max="5404" width="7" style="122" customWidth="1"/>
    <col min="5405" max="5632" width="9" style="122"/>
    <col min="5633" max="5633" width="2.7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25" style="122" customWidth="1"/>
    <col min="5638" max="5641" width="12.375" style="122" customWidth="1"/>
    <col min="5642" max="5642" width="9.25" style="122" customWidth="1"/>
    <col min="5643" max="5644" width="7" style="122" customWidth="1"/>
    <col min="5645" max="5645" width="3.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58" width="10.25" style="122" customWidth="1"/>
    <col min="5659" max="5660" width="7" style="122" customWidth="1"/>
    <col min="5661" max="5888" width="9" style="122"/>
    <col min="5889" max="5889" width="2.7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25" style="122" customWidth="1"/>
    <col min="5894" max="5897" width="12.375" style="122" customWidth="1"/>
    <col min="5898" max="5898" width="9.25" style="122" customWidth="1"/>
    <col min="5899" max="5900" width="7" style="122" customWidth="1"/>
    <col min="5901" max="5901" width="3.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4" width="10.25" style="122" customWidth="1"/>
    <col min="5915" max="5916" width="7" style="122" customWidth="1"/>
    <col min="5917" max="6144" width="9" style="122"/>
    <col min="6145" max="6145" width="2.7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25" style="122" customWidth="1"/>
    <col min="6150" max="6153" width="12.375" style="122" customWidth="1"/>
    <col min="6154" max="6154" width="9.25" style="122" customWidth="1"/>
    <col min="6155" max="6156" width="7" style="122" customWidth="1"/>
    <col min="6157" max="6157" width="3.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0" width="10.25" style="122" customWidth="1"/>
    <col min="6171" max="6172" width="7" style="122" customWidth="1"/>
    <col min="6173" max="6400" width="9" style="122"/>
    <col min="6401" max="6401" width="2.7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25" style="122" customWidth="1"/>
    <col min="6406" max="6409" width="12.375" style="122" customWidth="1"/>
    <col min="6410" max="6410" width="9.25" style="122" customWidth="1"/>
    <col min="6411" max="6412" width="7" style="122" customWidth="1"/>
    <col min="6413" max="6413" width="3.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6" width="10.25" style="122" customWidth="1"/>
    <col min="6427" max="6428" width="7" style="122" customWidth="1"/>
    <col min="6429" max="6656" width="9" style="122"/>
    <col min="6657" max="6657" width="2.7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25" style="122" customWidth="1"/>
    <col min="6662" max="6665" width="12.375" style="122" customWidth="1"/>
    <col min="6666" max="6666" width="9.25" style="122" customWidth="1"/>
    <col min="6667" max="6668" width="7" style="122" customWidth="1"/>
    <col min="6669" max="6669" width="3.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2" width="10.25" style="122" customWidth="1"/>
    <col min="6683" max="6684" width="7" style="122" customWidth="1"/>
    <col min="6685" max="6912" width="9" style="122"/>
    <col min="6913" max="6913" width="2.7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25" style="122" customWidth="1"/>
    <col min="6918" max="6921" width="12.375" style="122" customWidth="1"/>
    <col min="6922" max="6922" width="9.25" style="122" customWidth="1"/>
    <col min="6923" max="6924" width="7" style="122" customWidth="1"/>
    <col min="6925" max="6925" width="3.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38" width="10.25" style="122" customWidth="1"/>
    <col min="6939" max="6940" width="7" style="122" customWidth="1"/>
    <col min="6941" max="7168" width="9" style="122"/>
    <col min="7169" max="7169" width="2.7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25" style="122" customWidth="1"/>
    <col min="7174" max="7177" width="12.375" style="122" customWidth="1"/>
    <col min="7178" max="7178" width="9.25" style="122" customWidth="1"/>
    <col min="7179" max="7180" width="7" style="122" customWidth="1"/>
    <col min="7181" max="7181" width="3.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4" width="10.25" style="122" customWidth="1"/>
    <col min="7195" max="7196" width="7" style="122" customWidth="1"/>
    <col min="7197" max="7424" width="9" style="122"/>
    <col min="7425" max="7425" width="2.7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25" style="122" customWidth="1"/>
    <col min="7430" max="7433" width="12.375" style="122" customWidth="1"/>
    <col min="7434" max="7434" width="9.25" style="122" customWidth="1"/>
    <col min="7435" max="7436" width="7" style="122" customWidth="1"/>
    <col min="7437" max="7437" width="3.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0" width="10.25" style="122" customWidth="1"/>
    <col min="7451" max="7452" width="7" style="122" customWidth="1"/>
    <col min="7453" max="7680" width="9" style="122"/>
    <col min="7681" max="7681" width="2.7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25" style="122" customWidth="1"/>
    <col min="7686" max="7689" width="12.375" style="122" customWidth="1"/>
    <col min="7690" max="7690" width="9.25" style="122" customWidth="1"/>
    <col min="7691" max="7692" width="7" style="122" customWidth="1"/>
    <col min="7693" max="7693" width="3.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6" width="10.25" style="122" customWidth="1"/>
    <col min="7707" max="7708" width="7" style="122" customWidth="1"/>
    <col min="7709" max="7936" width="9" style="122"/>
    <col min="7937" max="7937" width="2.7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25" style="122" customWidth="1"/>
    <col min="7942" max="7945" width="12.375" style="122" customWidth="1"/>
    <col min="7946" max="7946" width="9.25" style="122" customWidth="1"/>
    <col min="7947" max="7948" width="7" style="122" customWidth="1"/>
    <col min="7949" max="7949" width="3.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2" width="10.25" style="122" customWidth="1"/>
    <col min="7963" max="7964" width="7" style="122" customWidth="1"/>
    <col min="7965" max="8192" width="9" style="122"/>
    <col min="8193" max="8193" width="2.7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25" style="122" customWidth="1"/>
    <col min="8198" max="8201" width="12.375" style="122" customWidth="1"/>
    <col min="8202" max="8202" width="9.25" style="122" customWidth="1"/>
    <col min="8203" max="8204" width="7" style="122" customWidth="1"/>
    <col min="8205" max="8205" width="3.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18" width="10.25" style="122" customWidth="1"/>
    <col min="8219" max="8220" width="7" style="122" customWidth="1"/>
    <col min="8221" max="8448" width="9" style="122"/>
    <col min="8449" max="8449" width="2.7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25" style="122" customWidth="1"/>
    <col min="8454" max="8457" width="12.375" style="122" customWidth="1"/>
    <col min="8458" max="8458" width="9.25" style="122" customWidth="1"/>
    <col min="8459" max="8460" width="7" style="122" customWidth="1"/>
    <col min="8461" max="8461" width="3.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4" width="10.25" style="122" customWidth="1"/>
    <col min="8475" max="8476" width="7" style="122" customWidth="1"/>
    <col min="8477" max="8704" width="9" style="122"/>
    <col min="8705" max="8705" width="2.7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25" style="122" customWidth="1"/>
    <col min="8710" max="8713" width="12.375" style="122" customWidth="1"/>
    <col min="8714" max="8714" width="9.25" style="122" customWidth="1"/>
    <col min="8715" max="8716" width="7" style="122" customWidth="1"/>
    <col min="8717" max="8717" width="3.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0" width="10.25" style="122" customWidth="1"/>
    <col min="8731" max="8732" width="7" style="122" customWidth="1"/>
    <col min="8733" max="8960" width="9" style="122"/>
    <col min="8961" max="8961" width="2.7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25" style="122" customWidth="1"/>
    <col min="8966" max="8969" width="12.375" style="122" customWidth="1"/>
    <col min="8970" max="8970" width="9.25" style="122" customWidth="1"/>
    <col min="8971" max="8972" width="7" style="122" customWidth="1"/>
    <col min="8973" max="8973" width="3.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6" width="10.25" style="122" customWidth="1"/>
    <col min="8987" max="8988" width="7" style="122" customWidth="1"/>
    <col min="8989" max="9216" width="9" style="122"/>
    <col min="9217" max="9217" width="2.7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25" style="122" customWidth="1"/>
    <col min="9222" max="9225" width="12.375" style="122" customWidth="1"/>
    <col min="9226" max="9226" width="9.25" style="122" customWidth="1"/>
    <col min="9227" max="9228" width="7" style="122" customWidth="1"/>
    <col min="9229" max="9229" width="3.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2" width="10.25" style="122" customWidth="1"/>
    <col min="9243" max="9244" width="7" style="122" customWidth="1"/>
    <col min="9245" max="9472" width="9" style="122"/>
    <col min="9473" max="9473" width="2.7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25" style="122" customWidth="1"/>
    <col min="9478" max="9481" width="12.375" style="122" customWidth="1"/>
    <col min="9482" max="9482" width="9.25" style="122" customWidth="1"/>
    <col min="9483" max="9484" width="7" style="122" customWidth="1"/>
    <col min="9485" max="9485" width="3.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498" width="10.25" style="122" customWidth="1"/>
    <col min="9499" max="9500" width="7" style="122" customWidth="1"/>
    <col min="9501" max="9728" width="9" style="122"/>
    <col min="9729" max="9729" width="2.7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25" style="122" customWidth="1"/>
    <col min="9734" max="9737" width="12.375" style="122" customWidth="1"/>
    <col min="9738" max="9738" width="9.25" style="122" customWidth="1"/>
    <col min="9739" max="9740" width="7" style="122" customWidth="1"/>
    <col min="9741" max="9741" width="3.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4" width="10.25" style="122" customWidth="1"/>
    <col min="9755" max="9756" width="7" style="122" customWidth="1"/>
    <col min="9757" max="9984" width="9" style="122"/>
    <col min="9985" max="9985" width="2.7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25" style="122" customWidth="1"/>
    <col min="9990" max="9993" width="12.375" style="122" customWidth="1"/>
    <col min="9994" max="9994" width="9.25" style="122" customWidth="1"/>
    <col min="9995" max="9996" width="7" style="122" customWidth="1"/>
    <col min="9997" max="9997" width="3.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0" width="10.25" style="122" customWidth="1"/>
    <col min="10011" max="10012" width="7" style="122" customWidth="1"/>
    <col min="10013" max="10240" width="9" style="122"/>
    <col min="10241" max="10241" width="2.7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25" style="122" customWidth="1"/>
    <col min="10246" max="10249" width="12.375" style="122" customWidth="1"/>
    <col min="10250" max="10250" width="9.25" style="122" customWidth="1"/>
    <col min="10251" max="10252" width="7" style="122" customWidth="1"/>
    <col min="10253" max="10253" width="3.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6" width="10.25" style="122" customWidth="1"/>
    <col min="10267" max="10268" width="7" style="122" customWidth="1"/>
    <col min="10269" max="10496" width="9" style="122"/>
    <col min="10497" max="10497" width="2.7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25" style="122" customWidth="1"/>
    <col min="10502" max="10505" width="12.375" style="122" customWidth="1"/>
    <col min="10506" max="10506" width="9.25" style="122" customWidth="1"/>
    <col min="10507" max="10508" width="7" style="122" customWidth="1"/>
    <col min="10509" max="10509" width="3.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2" width="10.25" style="122" customWidth="1"/>
    <col min="10523" max="10524" width="7" style="122" customWidth="1"/>
    <col min="10525" max="10752" width="9" style="122"/>
    <col min="10753" max="10753" width="2.7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25" style="122" customWidth="1"/>
    <col min="10758" max="10761" width="12.375" style="122" customWidth="1"/>
    <col min="10762" max="10762" width="9.25" style="122" customWidth="1"/>
    <col min="10763" max="10764" width="7" style="122" customWidth="1"/>
    <col min="10765" max="10765" width="3.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78" width="10.25" style="122" customWidth="1"/>
    <col min="10779" max="10780" width="7" style="122" customWidth="1"/>
    <col min="10781" max="11008" width="9" style="122"/>
    <col min="11009" max="11009" width="2.7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25" style="122" customWidth="1"/>
    <col min="11014" max="11017" width="12.375" style="122" customWidth="1"/>
    <col min="11018" max="11018" width="9.25" style="122" customWidth="1"/>
    <col min="11019" max="11020" width="7" style="122" customWidth="1"/>
    <col min="11021" max="11021" width="3.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4" width="10.25" style="122" customWidth="1"/>
    <col min="11035" max="11036" width="7" style="122" customWidth="1"/>
    <col min="11037" max="11264" width="9" style="122"/>
    <col min="11265" max="11265" width="2.7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25" style="122" customWidth="1"/>
    <col min="11270" max="11273" width="12.375" style="122" customWidth="1"/>
    <col min="11274" max="11274" width="9.25" style="122" customWidth="1"/>
    <col min="11275" max="11276" width="7" style="122" customWidth="1"/>
    <col min="11277" max="11277" width="3.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0" width="10.25" style="122" customWidth="1"/>
    <col min="11291" max="11292" width="7" style="122" customWidth="1"/>
    <col min="11293" max="11520" width="9" style="122"/>
    <col min="11521" max="11521" width="2.7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25" style="122" customWidth="1"/>
    <col min="11526" max="11529" width="12.375" style="122" customWidth="1"/>
    <col min="11530" max="11530" width="9.25" style="122" customWidth="1"/>
    <col min="11531" max="11532" width="7" style="122" customWidth="1"/>
    <col min="11533" max="11533" width="3.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6" width="10.25" style="122" customWidth="1"/>
    <col min="11547" max="11548" width="7" style="122" customWidth="1"/>
    <col min="11549" max="11776" width="9" style="122"/>
    <col min="11777" max="11777" width="2.7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25" style="122" customWidth="1"/>
    <col min="11782" max="11785" width="12.375" style="122" customWidth="1"/>
    <col min="11786" max="11786" width="9.25" style="122" customWidth="1"/>
    <col min="11787" max="11788" width="7" style="122" customWidth="1"/>
    <col min="11789" max="11789" width="3.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2" width="10.25" style="122" customWidth="1"/>
    <col min="11803" max="11804" width="7" style="122" customWidth="1"/>
    <col min="11805" max="12032" width="9" style="122"/>
    <col min="12033" max="12033" width="2.7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25" style="122" customWidth="1"/>
    <col min="12038" max="12041" width="12.375" style="122" customWidth="1"/>
    <col min="12042" max="12042" width="9.25" style="122" customWidth="1"/>
    <col min="12043" max="12044" width="7" style="122" customWidth="1"/>
    <col min="12045" max="12045" width="3.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58" width="10.25" style="122" customWidth="1"/>
    <col min="12059" max="12060" width="7" style="122" customWidth="1"/>
    <col min="12061" max="12288" width="9" style="122"/>
    <col min="12289" max="12289" width="2.7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25" style="122" customWidth="1"/>
    <col min="12294" max="12297" width="12.375" style="122" customWidth="1"/>
    <col min="12298" max="12298" width="9.25" style="122" customWidth="1"/>
    <col min="12299" max="12300" width="7" style="122" customWidth="1"/>
    <col min="12301" max="12301" width="3.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4" width="10.25" style="122" customWidth="1"/>
    <col min="12315" max="12316" width="7" style="122" customWidth="1"/>
    <col min="12317" max="12544" width="9" style="122"/>
    <col min="12545" max="12545" width="2.7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25" style="122" customWidth="1"/>
    <col min="12550" max="12553" width="12.375" style="122" customWidth="1"/>
    <col min="12554" max="12554" width="9.25" style="122" customWidth="1"/>
    <col min="12555" max="12556" width="7" style="122" customWidth="1"/>
    <col min="12557" max="12557" width="3.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0" width="10.25" style="122" customWidth="1"/>
    <col min="12571" max="12572" width="7" style="122" customWidth="1"/>
    <col min="12573" max="12800" width="9" style="122"/>
    <col min="12801" max="12801" width="2.7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25" style="122" customWidth="1"/>
    <col min="12806" max="12809" width="12.375" style="122" customWidth="1"/>
    <col min="12810" max="12810" width="9.25" style="122" customWidth="1"/>
    <col min="12811" max="12812" width="7" style="122" customWidth="1"/>
    <col min="12813" max="12813" width="3.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6" width="10.25" style="122" customWidth="1"/>
    <col min="12827" max="12828" width="7" style="122" customWidth="1"/>
    <col min="12829" max="13056" width="9" style="122"/>
    <col min="13057" max="13057" width="2.7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25" style="122" customWidth="1"/>
    <col min="13062" max="13065" width="12.375" style="122" customWidth="1"/>
    <col min="13066" max="13066" width="9.25" style="122" customWidth="1"/>
    <col min="13067" max="13068" width="7" style="122" customWidth="1"/>
    <col min="13069" max="13069" width="3.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2" width="10.25" style="122" customWidth="1"/>
    <col min="13083" max="13084" width="7" style="122" customWidth="1"/>
    <col min="13085" max="13312" width="9" style="122"/>
    <col min="13313" max="13313" width="2.7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25" style="122" customWidth="1"/>
    <col min="13318" max="13321" width="12.375" style="122" customWidth="1"/>
    <col min="13322" max="13322" width="9.25" style="122" customWidth="1"/>
    <col min="13323" max="13324" width="7" style="122" customWidth="1"/>
    <col min="13325" max="13325" width="3.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38" width="10.25" style="122" customWidth="1"/>
    <col min="13339" max="13340" width="7" style="122" customWidth="1"/>
    <col min="13341" max="13568" width="9" style="122"/>
    <col min="13569" max="13569" width="2.7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25" style="122" customWidth="1"/>
    <col min="13574" max="13577" width="12.375" style="122" customWidth="1"/>
    <col min="13578" max="13578" width="9.25" style="122" customWidth="1"/>
    <col min="13579" max="13580" width="7" style="122" customWidth="1"/>
    <col min="13581" max="13581" width="3.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4" width="10.25" style="122" customWidth="1"/>
    <col min="13595" max="13596" width="7" style="122" customWidth="1"/>
    <col min="13597" max="13824" width="9" style="122"/>
    <col min="13825" max="13825" width="2.7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25" style="122" customWidth="1"/>
    <col min="13830" max="13833" width="12.375" style="122" customWidth="1"/>
    <col min="13834" max="13834" width="9.25" style="122" customWidth="1"/>
    <col min="13835" max="13836" width="7" style="122" customWidth="1"/>
    <col min="13837" max="13837" width="3.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0" width="10.25" style="122" customWidth="1"/>
    <col min="13851" max="13852" width="7" style="122" customWidth="1"/>
    <col min="13853" max="14080" width="9" style="122"/>
    <col min="14081" max="14081" width="2.7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25" style="122" customWidth="1"/>
    <col min="14086" max="14089" width="12.375" style="122" customWidth="1"/>
    <col min="14090" max="14090" width="9.25" style="122" customWidth="1"/>
    <col min="14091" max="14092" width="7" style="122" customWidth="1"/>
    <col min="14093" max="14093" width="3.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6" width="10.25" style="122" customWidth="1"/>
    <col min="14107" max="14108" width="7" style="122" customWidth="1"/>
    <col min="14109" max="14336" width="9" style="122"/>
    <col min="14337" max="14337" width="2.7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25" style="122" customWidth="1"/>
    <col min="14342" max="14345" width="12.375" style="122" customWidth="1"/>
    <col min="14346" max="14346" width="9.25" style="122" customWidth="1"/>
    <col min="14347" max="14348" width="7" style="122" customWidth="1"/>
    <col min="14349" max="14349" width="3.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2" width="10.25" style="122" customWidth="1"/>
    <col min="14363" max="14364" width="7" style="122" customWidth="1"/>
    <col min="14365" max="14592" width="9" style="122"/>
    <col min="14593" max="14593" width="2.7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25" style="122" customWidth="1"/>
    <col min="14598" max="14601" width="12.375" style="122" customWidth="1"/>
    <col min="14602" max="14602" width="9.25" style="122" customWidth="1"/>
    <col min="14603" max="14604" width="7" style="122" customWidth="1"/>
    <col min="14605" max="14605" width="3.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18" width="10.25" style="122" customWidth="1"/>
    <col min="14619" max="14620" width="7" style="122" customWidth="1"/>
    <col min="14621" max="14848" width="9" style="122"/>
    <col min="14849" max="14849" width="2.7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25" style="122" customWidth="1"/>
    <col min="14854" max="14857" width="12.375" style="122" customWidth="1"/>
    <col min="14858" max="14858" width="9.25" style="122" customWidth="1"/>
    <col min="14859" max="14860" width="7" style="122" customWidth="1"/>
    <col min="14861" max="14861" width="3.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4" width="10.25" style="122" customWidth="1"/>
    <col min="14875" max="14876" width="7" style="122" customWidth="1"/>
    <col min="14877" max="15104" width="9" style="122"/>
    <col min="15105" max="15105" width="2.7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25" style="122" customWidth="1"/>
    <col min="15110" max="15113" width="12.375" style="122" customWidth="1"/>
    <col min="15114" max="15114" width="9.25" style="122" customWidth="1"/>
    <col min="15115" max="15116" width="7" style="122" customWidth="1"/>
    <col min="15117" max="15117" width="3.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0" width="10.25" style="122" customWidth="1"/>
    <col min="15131" max="15132" width="7" style="122" customWidth="1"/>
    <col min="15133" max="15360" width="9" style="122"/>
    <col min="15361" max="15361" width="2.7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25" style="122" customWidth="1"/>
    <col min="15366" max="15369" width="12.375" style="122" customWidth="1"/>
    <col min="15370" max="15370" width="9.25" style="122" customWidth="1"/>
    <col min="15371" max="15372" width="7" style="122" customWidth="1"/>
    <col min="15373" max="15373" width="3.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6" width="10.25" style="122" customWidth="1"/>
    <col min="15387" max="15388" width="7" style="122" customWidth="1"/>
    <col min="15389" max="15616" width="9" style="122"/>
    <col min="15617" max="15617" width="2.7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25" style="122" customWidth="1"/>
    <col min="15622" max="15625" width="12.375" style="122" customWidth="1"/>
    <col min="15626" max="15626" width="9.25" style="122" customWidth="1"/>
    <col min="15627" max="15628" width="7" style="122" customWidth="1"/>
    <col min="15629" max="15629" width="3.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2" width="10.25" style="122" customWidth="1"/>
    <col min="15643" max="15644" width="7" style="122" customWidth="1"/>
    <col min="15645" max="15872" width="9" style="122"/>
    <col min="15873" max="15873" width="2.7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25" style="122" customWidth="1"/>
    <col min="15878" max="15881" width="12.375" style="122" customWidth="1"/>
    <col min="15882" max="15882" width="9.25" style="122" customWidth="1"/>
    <col min="15883" max="15884" width="7" style="122" customWidth="1"/>
    <col min="15885" max="15885" width="3.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898" width="10.25" style="122" customWidth="1"/>
    <col min="15899" max="15900" width="7" style="122" customWidth="1"/>
    <col min="15901" max="16128" width="9" style="122"/>
    <col min="16129" max="16129" width="2.7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25" style="122" customWidth="1"/>
    <col min="16134" max="16137" width="12.375" style="122" customWidth="1"/>
    <col min="16138" max="16138" width="9.25" style="122" customWidth="1"/>
    <col min="16139" max="16140" width="7" style="122" customWidth="1"/>
    <col min="16141" max="16141" width="3.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4" width="10.25" style="122" customWidth="1"/>
    <col min="16155" max="16156" width="7" style="122" customWidth="1"/>
    <col min="16157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107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108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344">
        <v>914.4</v>
      </c>
      <c r="G9" s="345">
        <v>887.3</v>
      </c>
      <c r="H9" s="345">
        <v>893</v>
      </c>
      <c r="I9" s="346">
        <v>890</v>
      </c>
      <c r="J9" s="56">
        <f t="shared" ref="J9:L12" si="0">IF(OR(G9=0,F9=0),"",G9/F9-1)</f>
        <v>-2.9636920384951915E-2</v>
      </c>
      <c r="K9" s="57">
        <f t="shared" si="0"/>
        <v>6.4239828693790635E-3</v>
      </c>
      <c r="L9" s="58">
        <f t="shared" si="0"/>
        <v>-3.3594624860022737E-3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347">
        <v>285.2</v>
      </c>
      <c r="G10" s="348">
        <v>275.38</v>
      </c>
      <c r="H10" s="348">
        <v>275</v>
      </c>
      <c r="I10" s="349">
        <v>270</v>
      </c>
      <c r="J10" s="59">
        <f t="shared" si="0"/>
        <v>-3.4431977559607252E-2</v>
      </c>
      <c r="K10" s="60">
        <f t="shared" si="0"/>
        <v>-1.3799113951630249E-3</v>
      </c>
      <c r="L10" s="61">
        <f t="shared" si="0"/>
        <v>-1.8181818181818188E-2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347">
        <v>58.7</v>
      </c>
      <c r="G11" s="348">
        <v>57.4</v>
      </c>
      <c r="H11" s="348">
        <v>59.9</v>
      </c>
      <c r="I11" s="349">
        <v>61.2</v>
      </c>
      <c r="J11" s="59">
        <f t="shared" si="0"/>
        <v>-2.2146507666098825E-2</v>
      </c>
      <c r="K11" s="60">
        <f t="shared" si="0"/>
        <v>4.355400696864109E-2</v>
      </c>
      <c r="L11" s="61">
        <f t="shared" si="0"/>
        <v>2.17028380634392E-2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107">
        <f>+F10+F11</f>
        <v>343.9</v>
      </c>
      <c r="G12" s="108">
        <f>+G10+G11</f>
        <v>332.78</v>
      </c>
      <c r="H12" s="108">
        <f>+H10+H11</f>
        <v>334.9</v>
      </c>
      <c r="I12" s="109">
        <f>+I10+I11</f>
        <v>331.2</v>
      </c>
      <c r="J12" s="59">
        <f t="shared" si="0"/>
        <v>-3.2334981099156779E-2</v>
      </c>
      <c r="K12" s="60">
        <f t="shared" si="0"/>
        <v>6.3705751547569189E-3</v>
      </c>
      <c r="L12" s="61">
        <f t="shared" si="0"/>
        <v>-1.1048074051955736E-2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101">
        <v>41.1</v>
      </c>
      <c r="G15" s="102">
        <v>41.89</v>
      </c>
      <c r="H15" s="102">
        <v>40.799999999999997</v>
      </c>
      <c r="I15" s="103">
        <v>41</v>
      </c>
      <c r="J15" s="62">
        <f t="shared" ref="J15:L21" si="1">IF(OR(G15=0,F15=0),"",G15/F15-1)</f>
        <v>1.9221411192213989E-2</v>
      </c>
      <c r="K15" s="63">
        <f t="shared" si="1"/>
        <v>-2.6020529959417615E-2</v>
      </c>
      <c r="L15" s="64">
        <f t="shared" si="1"/>
        <v>4.9019607843137081E-3</v>
      </c>
      <c r="N15" s="350">
        <v>0.125</v>
      </c>
      <c r="O15" s="351">
        <v>0.14000000000000001</v>
      </c>
      <c r="P15" s="351">
        <v>9.2999999999999999E-2</v>
      </c>
      <c r="Q15" s="352">
        <v>0.1</v>
      </c>
      <c r="R15" s="62">
        <f t="shared" ref="R15:T21" si="2">IF(OR(O15=0,N15=0),"",O15/N15-1)</f>
        <v>0.12000000000000011</v>
      </c>
      <c r="S15" s="63">
        <f t="shared" si="2"/>
        <v>-0.33571428571428574</v>
      </c>
      <c r="T15" s="64">
        <f t="shared" si="2"/>
        <v>7.526881720430123E-2</v>
      </c>
      <c r="V15" s="353">
        <f>+F15+N15</f>
        <v>41.225000000000001</v>
      </c>
      <c r="W15" s="354">
        <f t="shared" ref="W15:Y21" si="3">+G15+O15</f>
        <v>42.03</v>
      </c>
      <c r="X15" s="354">
        <f t="shared" si="3"/>
        <v>40.893000000000001</v>
      </c>
      <c r="Y15" s="355">
        <f t="shared" si="3"/>
        <v>41.1</v>
      </c>
      <c r="Z15" s="59">
        <f t="shared" ref="Z15:AB21" si="4">IF(OR(W15=0,V15=0),"",W15/V15-1)</f>
        <v>1.9526986052152751E-2</v>
      </c>
      <c r="AA15" s="60">
        <f t="shared" si="4"/>
        <v>-2.7052105638829427E-2</v>
      </c>
      <c r="AB15" s="61">
        <f t="shared" si="4"/>
        <v>5.061991049812864E-3</v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104">
        <v>44.5</v>
      </c>
      <c r="G16" s="105">
        <v>44.52</v>
      </c>
      <c r="H16" s="105">
        <v>44</v>
      </c>
      <c r="I16" s="106">
        <v>43.8</v>
      </c>
      <c r="J16" s="65">
        <f t="shared" si="1"/>
        <v>4.4943820224729869E-4</v>
      </c>
      <c r="K16" s="66">
        <f t="shared" si="1"/>
        <v>-1.1680143755615546E-2</v>
      </c>
      <c r="L16" s="67">
        <f t="shared" si="1"/>
        <v>-4.5454545454546302E-3</v>
      </c>
      <c r="N16" s="356">
        <v>0.156</v>
      </c>
      <c r="O16" s="357">
        <v>0.16600000000000001</v>
      </c>
      <c r="P16" s="357">
        <v>0.126</v>
      </c>
      <c r="Q16" s="358">
        <v>0.11</v>
      </c>
      <c r="R16" s="65">
        <f t="shared" si="2"/>
        <v>6.4102564102564097E-2</v>
      </c>
      <c r="S16" s="66">
        <f t="shared" si="2"/>
        <v>-0.24096385542168675</v>
      </c>
      <c r="T16" s="67">
        <f t="shared" si="2"/>
        <v>-0.12698412698412698</v>
      </c>
      <c r="V16" s="359">
        <f t="shared" ref="V16:V21" si="5">+F16+N16</f>
        <v>44.655999999999999</v>
      </c>
      <c r="W16" s="360">
        <f t="shared" si="3"/>
        <v>44.686</v>
      </c>
      <c r="X16" s="360">
        <f t="shared" si="3"/>
        <v>44.125999999999998</v>
      </c>
      <c r="Y16" s="361">
        <f t="shared" si="3"/>
        <v>43.91</v>
      </c>
      <c r="Z16" s="68">
        <f t="shared" si="4"/>
        <v>6.7180222142604329E-4</v>
      </c>
      <c r="AA16" s="69">
        <f t="shared" si="4"/>
        <v>-1.2531889182294309E-2</v>
      </c>
      <c r="AB16" s="70">
        <f t="shared" si="4"/>
        <v>-4.8950731994742425E-3</v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107">
        <f>+F15+F16</f>
        <v>85.6</v>
      </c>
      <c r="G17" s="108">
        <f>+G15+G16</f>
        <v>86.41</v>
      </c>
      <c r="H17" s="108">
        <f>+H15+H16</f>
        <v>84.8</v>
      </c>
      <c r="I17" s="109">
        <f>+I15+I16</f>
        <v>84.8</v>
      </c>
      <c r="J17" s="68">
        <f t="shared" si="1"/>
        <v>9.4626168224298812E-3</v>
      </c>
      <c r="K17" s="69">
        <f t="shared" si="1"/>
        <v>-1.8632102765883563E-2</v>
      </c>
      <c r="L17" s="70">
        <f t="shared" si="1"/>
        <v>0</v>
      </c>
      <c r="M17" s="7">
        <f>+M15+M16</f>
        <v>0</v>
      </c>
      <c r="N17" s="362">
        <f>+N15+N16</f>
        <v>0.28100000000000003</v>
      </c>
      <c r="O17" s="363">
        <f>+O15+O16</f>
        <v>0.30600000000000005</v>
      </c>
      <c r="P17" s="363">
        <f>+P15+P16</f>
        <v>0.219</v>
      </c>
      <c r="Q17" s="364">
        <f>+Q15+Q16</f>
        <v>0.21000000000000002</v>
      </c>
      <c r="R17" s="68">
        <f t="shared" si="2"/>
        <v>8.8967971530249157E-2</v>
      </c>
      <c r="S17" s="69">
        <f t="shared" si="2"/>
        <v>-0.28431372549019618</v>
      </c>
      <c r="T17" s="70">
        <f t="shared" si="2"/>
        <v>-4.1095890410958846E-2</v>
      </c>
      <c r="U17" s="7"/>
      <c r="V17" s="107">
        <f>+V15+V16</f>
        <v>85.881</v>
      </c>
      <c r="W17" s="108">
        <f>+W15+W16</f>
        <v>86.716000000000008</v>
      </c>
      <c r="X17" s="108">
        <f>+X15+X16</f>
        <v>85.019000000000005</v>
      </c>
      <c r="Y17" s="109">
        <f>+Y15+Y16</f>
        <v>85.009999999999991</v>
      </c>
      <c r="Z17" s="68">
        <f t="shared" si="4"/>
        <v>9.7227559064287927E-3</v>
      </c>
      <c r="AA17" s="69">
        <f t="shared" si="4"/>
        <v>-1.9569629595461047E-2</v>
      </c>
      <c r="AB17" s="70">
        <f t="shared" si="4"/>
        <v>-1.0585869041057627E-4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347">
        <v>0</v>
      </c>
      <c r="G18" s="348">
        <v>0</v>
      </c>
      <c r="H18" s="348">
        <v>0</v>
      </c>
      <c r="I18" s="349">
        <v>0</v>
      </c>
      <c r="J18" s="59" t="str">
        <f t="shared" si="1"/>
        <v/>
      </c>
      <c r="K18" s="60" t="str">
        <f t="shared" si="1"/>
        <v/>
      </c>
      <c r="L18" s="61" t="str">
        <f t="shared" si="1"/>
        <v/>
      </c>
      <c r="N18" s="365">
        <v>0</v>
      </c>
      <c r="O18" s="366">
        <v>0</v>
      </c>
      <c r="P18" s="366">
        <v>0</v>
      </c>
      <c r="Q18" s="367">
        <v>0</v>
      </c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92">
        <f t="shared" si="5"/>
        <v>0</v>
      </c>
      <c r="W18" s="93">
        <f t="shared" si="3"/>
        <v>0</v>
      </c>
      <c r="X18" s="93">
        <f t="shared" si="3"/>
        <v>0</v>
      </c>
      <c r="Y18" s="94">
        <f t="shared" si="3"/>
        <v>0</v>
      </c>
      <c r="Z18" s="59" t="str">
        <f t="shared" si="4"/>
        <v/>
      </c>
      <c r="AA18" s="60" t="str">
        <f t="shared" si="4"/>
        <v/>
      </c>
      <c r="AB18" s="61" t="str">
        <f t="shared" si="4"/>
        <v/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368">
        <v>0</v>
      </c>
      <c r="G19" s="173">
        <v>0</v>
      </c>
      <c r="H19" s="173">
        <v>0</v>
      </c>
      <c r="I19" s="174">
        <v>0</v>
      </c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369">
        <v>0</v>
      </c>
      <c r="O19" s="370">
        <v>0</v>
      </c>
      <c r="P19" s="370">
        <v>0</v>
      </c>
      <c r="Q19" s="371">
        <v>0</v>
      </c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95">
        <f t="shared" si="5"/>
        <v>0</v>
      </c>
      <c r="W19" s="96">
        <f t="shared" si="3"/>
        <v>0</v>
      </c>
      <c r="X19" s="96">
        <f t="shared" si="3"/>
        <v>0</v>
      </c>
      <c r="Y19" s="97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347">
        <v>0</v>
      </c>
      <c r="G20" s="348">
        <v>0</v>
      </c>
      <c r="H20" s="348">
        <v>0</v>
      </c>
      <c r="I20" s="349">
        <v>0</v>
      </c>
      <c r="J20" s="59" t="str">
        <f t="shared" si="1"/>
        <v/>
      </c>
      <c r="K20" s="60" t="str">
        <f t="shared" si="1"/>
        <v/>
      </c>
      <c r="L20" s="61" t="str">
        <f t="shared" si="1"/>
        <v/>
      </c>
      <c r="N20" s="365">
        <v>0</v>
      </c>
      <c r="O20" s="366">
        <v>0</v>
      </c>
      <c r="P20" s="366">
        <v>0</v>
      </c>
      <c r="Q20" s="367">
        <v>0</v>
      </c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92">
        <f t="shared" si="5"/>
        <v>0</v>
      </c>
      <c r="W20" s="93">
        <f t="shared" si="3"/>
        <v>0</v>
      </c>
      <c r="X20" s="93">
        <f t="shared" si="3"/>
        <v>0</v>
      </c>
      <c r="Y20" s="94">
        <f t="shared" si="3"/>
        <v>0</v>
      </c>
      <c r="Z20" s="59" t="str">
        <f t="shared" si="4"/>
        <v/>
      </c>
      <c r="AA20" s="60" t="str">
        <f t="shared" si="4"/>
        <v/>
      </c>
      <c r="AB20" s="61" t="str">
        <f t="shared" si="4"/>
        <v/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368">
        <v>0</v>
      </c>
      <c r="G21" s="173">
        <v>0</v>
      </c>
      <c r="H21" s="173">
        <v>0</v>
      </c>
      <c r="I21" s="174">
        <v>0</v>
      </c>
      <c r="J21" s="68" t="str">
        <f t="shared" si="1"/>
        <v/>
      </c>
      <c r="K21" s="69" t="str">
        <f t="shared" si="1"/>
        <v/>
      </c>
      <c r="L21" s="70" t="str">
        <f t="shared" si="1"/>
        <v/>
      </c>
      <c r="N21" s="369">
        <v>0</v>
      </c>
      <c r="O21" s="370">
        <v>0</v>
      </c>
      <c r="P21" s="370">
        <v>0</v>
      </c>
      <c r="Q21" s="371">
        <v>0</v>
      </c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95">
        <f t="shared" si="5"/>
        <v>0</v>
      </c>
      <c r="W21" s="96">
        <f t="shared" si="3"/>
        <v>0</v>
      </c>
      <c r="X21" s="96">
        <f t="shared" si="3"/>
        <v>0</v>
      </c>
      <c r="Y21" s="97">
        <f t="shared" si="3"/>
        <v>0</v>
      </c>
      <c r="Z21" s="68" t="str">
        <f t="shared" si="4"/>
        <v/>
      </c>
      <c r="AA21" s="69" t="str">
        <f t="shared" si="4"/>
        <v/>
      </c>
      <c r="AB21" s="70" t="str">
        <f t="shared" si="4"/>
        <v/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101">
        <v>41.1</v>
      </c>
      <c r="G24" s="102">
        <v>41.89</v>
      </c>
      <c r="H24" s="102">
        <v>40.799999999999997</v>
      </c>
      <c r="I24" s="103">
        <v>41</v>
      </c>
      <c r="J24" s="59">
        <f t="shared" ref="J24:L30" si="6">IF(OR(G24=0,F24=0),"",G24/F24-1)</f>
        <v>1.9221411192213989E-2</v>
      </c>
      <c r="K24" s="60">
        <f t="shared" si="6"/>
        <v>-2.6020529959417615E-2</v>
      </c>
      <c r="L24" s="61">
        <f t="shared" si="6"/>
        <v>4.9019607843137081E-3</v>
      </c>
      <c r="N24" s="350">
        <v>0.125</v>
      </c>
      <c r="O24" s="351">
        <v>0.14000000000000001</v>
      </c>
      <c r="P24" s="351">
        <v>9.2999999999999999E-2</v>
      </c>
      <c r="Q24" s="352">
        <v>0.1</v>
      </c>
      <c r="R24" s="59">
        <f t="shared" ref="R24:T30" si="7">IF(OR(O24=0,N24=0),"",O24/N24-1)</f>
        <v>0.12000000000000011</v>
      </c>
      <c r="S24" s="60">
        <f t="shared" si="7"/>
        <v>-0.33571428571428574</v>
      </c>
      <c r="T24" s="61">
        <f t="shared" si="7"/>
        <v>7.526881720430123E-2</v>
      </c>
      <c r="V24" s="353">
        <f t="shared" ref="V24:Y30" si="8">+F24+N24</f>
        <v>41.225000000000001</v>
      </c>
      <c r="W24" s="354">
        <f t="shared" si="8"/>
        <v>42.03</v>
      </c>
      <c r="X24" s="354">
        <f t="shared" si="8"/>
        <v>40.893000000000001</v>
      </c>
      <c r="Y24" s="355">
        <f t="shared" si="8"/>
        <v>41.1</v>
      </c>
      <c r="Z24" s="59">
        <f t="shared" ref="Z24:AB30" si="9">IF(OR(W24=0,V24=0),"",W24/V24-1)</f>
        <v>1.9526986052152751E-2</v>
      </c>
      <c r="AA24" s="60">
        <f t="shared" si="9"/>
        <v>-2.7052105638829427E-2</v>
      </c>
      <c r="AB24" s="61">
        <f t="shared" si="9"/>
        <v>5.061991049812864E-3</v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104">
        <v>44.5</v>
      </c>
      <c r="G25" s="105">
        <v>44.52</v>
      </c>
      <c r="H25" s="105">
        <v>44</v>
      </c>
      <c r="I25" s="106">
        <v>44</v>
      </c>
      <c r="J25" s="68">
        <f t="shared" si="6"/>
        <v>4.4943820224729869E-4</v>
      </c>
      <c r="K25" s="69">
        <f t="shared" si="6"/>
        <v>-1.1680143755615546E-2</v>
      </c>
      <c r="L25" s="70">
        <f t="shared" si="6"/>
        <v>0</v>
      </c>
      <c r="N25" s="356">
        <v>0.156</v>
      </c>
      <c r="O25" s="357">
        <v>0.16600000000000001</v>
      </c>
      <c r="P25" s="357">
        <v>0.126</v>
      </c>
      <c r="Q25" s="358">
        <v>0.11</v>
      </c>
      <c r="R25" s="68">
        <f t="shared" si="7"/>
        <v>6.4102564102564097E-2</v>
      </c>
      <c r="S25" s="69">
        <f t="shared" si="7"/>
        <v>-0.24096385542168675</v>
      </c>
      <c r="T25" s="70">
        <f t="shared" si="7"/>
        <v>-0.12698412698412698</v>
      </c>
      <c r="V25" s="359">
        <f t="shared" si="8"/>
        <v>44.655999999999999</v>
      </c>
      <c r="W25" s="360">
        <f t="shared" si="8"/>
        <v>44.686</v>
      </c>
      <c r="X25" s="360">
        <f t="shared" si="8"/>
        <v>44.125999999999998</v>
      </c>
      <c r="Y25" s="361">
        <f t="shared" si="8"/>
        <v>44.11</v>
      </c>
      <c r="Z25" s="68">
        <f t="shared" si="9"/>
        <v>6.7180222142604329E-4</v>
      </c>
      <c r="AA25" s="69">
        <f t="shared" si="9"/>
        <v>-1.2531889182294309E-2</v>
      </c>
      <c r="AB25" s="70">
        <f t="shared" si="9"/>
        <v>-3.6259801477578346E-4</v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107">
        <f>+F24+F25</f>
        <v>85.6</v>
      </c>
      <c r="G26" s="108">
        <f>+G24+G25</f>
        <v>86.41</v>
      </c>
      <c r="H26" s="108">
        <f>+H24+H25</f>
        <v>84.8</v>
      </c>
      <c r="I26" s="109">
        <f>+I24+I25</f>
        <v>85</v>
      </c>
      <c r="J26" s="68">
        <f t="shared" si="6"/>
        <v>9.4626168224298812E-3</v>
      </c>
      <c r="K26" s="69">
        <f t="shared" si="6"/>
        <v>-1.8632102765883563E-2</v>
      </c>
      <c r="L26" s="70">
        <f t="shared" si="6"/>
        <v>2.3584905660378741E-3</v>
      </c>
      <c r="M26" s="7"/>
      <c r="N26" s="362">
        <f>+N24+N25</f>
        <v>0.28100000000000003</v>
      </c>
      <c r="O26" s="363">
        <f>+O24+O25</f>
        <v>0.30600000000000005</v>
      </c>
      <c r="P26" s="363">
        <f>+P24+P25</f>
        <v>0.219</v>
      </c>
      <c r="Q26" s="364">
        <f>+Q24+Q25</f>
        <v>0.21000000000000002</v>
      </c>
      <c r="R26" s="68">
        <f t="shared" si="7"/>
        <v>8.8967971530249157E-2</v>
      </c>
      <c r="S26" s="69">
        <f t="shared" si="7"/>
        <v>-0.28431372549019618</v>
      </c>
      <c r="T26" s="70">
        <f t="shared" si="7"/>
        <v>-4.1095890410958846E-2</v>
      </c>
      <c r="U26" s="7"/>
      <c r="V26" s="107">
        <f>+V24+V25</f>
        <v>85.881</v>
      </c>
      <c r="W26" s="108">
        <f>+W24+W25</f>
        <v>86.716000000000008</v>
      </c>
      <c r="X26" s="108">
        <f>+X24+X25</f>
        <v>85.019000000000005</v>
      </c>
      <c r="Y26" s="109">
        <f>+Y24+Y25</f>
        <v>85.210000000000008</v>
      </c>
      <c r="Z26" s="68">
        <f t="shared" si="9"/>
        <v>9.7227559064287927E-3</v>
      </c>
      <c r="AA26" s="69">
        <f t="shared" si="9"/>
        <v>-1.9569629595461047E-2</v>
      </c>
      <c r="AB26" s="70">
        <f t="shared" si="9"/>
        <v>2.2465566520424307E-3</v>
      </c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347">
        <v>18.600000000000001</v>
      </c>
      <c r="G27" s="348">
        <v>19.309999999999999</v>
      </c>
      <c r="H27" s="348">
        <v>18.37</v>
      </c>
      <c r="I27" s="349">
        <v>17.14</v>
      </c>
      <c r="J27" s="59">
        <f t="shared" si="6"/>
        <v>3.817204301075261E-2</v>
      </c>
      <c r="K27" s="60">
        <f t="shared" si="6"/>
        <v>-4.8679440704298194E-2</v>
      </c>
      <c r="L27" s="61">
        <f t="shared" si="6"/>
        <v>-6.6956995100707739E-2</v>
      </c>
      <c r="N27" s="365">
        <v>0</v>
      </c>
      <c r="O27" s="366">
        <v>0</v>
      </c>
      <c r="P27" s="366">
        <v>0</v>
      </c>
      <c r="Q27" s="367">
        <v>0</v>
      </c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372">
        <f t="shared" si="8"/>
        <v>18.600000000000001</v>
      </c>
      <c r="W27" s="373">
        <f t="shared" si="8"/>
        <v>19.309999999999999</v>
      </c>
      <c r="X27" s="373">
        <f t="shared" si="8"/>
        <v>18.37</v>
      </c>
      <c r="Y27" s="374">
        <f t="shared" si="8"/>
        <v>17.14</v>
      </c>
      <c r="Z27" s="59">
        <f t="shared" si="9"/>
        <v>3.817204301075261E-2</v>
      </c>
      <c r="AA27" s="60">
        <f t="shared" si="9"/>
        <v>-4.8679440704298194E-2</v>
      </c>
      <c r="AB27" s="61">
        <f t="shared" si="9"/>
        <v>-6.6956995100707739E-2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368">
        <v>2.2000000000000002</v>
      </c>
      <c r="G28" s="173">
        <v>2.5</v>
      </c>
      <c r="H28" s="173">
        <v>2</v>
      </c>
      <c r="I28" s="174">
        <v>2</v>
      </c>
      <c r="J28" s="68">
        <f t="shared" si="6"/>
        <v>0.13636363636363624</v>
      </c>
      <c r="K28" s="69">
        <f t="shared" si="6"/>
        <v>-0.19999999999999996</v>
      </c>
      <c r="L28" s="70">
        <f t="shared" si="6"/>
        <v>0</v>
      </c>
      <c r="N28" s="369">
        <v>0</v>
      </c>
      <c r="O28" s="370">
        <v>0</v>
      </c>
      <c r="P28" s="370">
        <v>0</v>
      </c>
      <c r="Q28" s="371">
        <v>0</v>
      </c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375">
        <f t="shared" si="8"/>
        <v>2.2000000000000002</v>
      </c>
      <c r="W28" s="376">
        <f t="shared" si="8"/>
        <v>2.5</v>
      </c>
      <c r="X28" s="376">
        <f t="shared" si="8"/>
        <v>2</v>
      </c>
      <c r="Y28" s="377">
        <f t="shared" si="8"/>
        <v>2</v>
      </c>
      <c r="Z28" s="68">
        <f t="shared" si="9"/>
        <v>0.13636363636363624</v>
      </c>
      <c r="AA28" s="69">
        <f t="shared" si="9"/>
        <v>-0.19999999999999996</v>
      </c>
      <c r="AB28" s="70">
        <f t="shared" si="9"/>
        <v>0</v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347">
        <v>3.99</v>
      </c>
      <c r="G29" s="348">
        <v>4.25</v>
      </c>
      <c r="H29" s="348">
        <v>2.65</v>
      </c>
      <c r="I29" s="349">
        <v>2.1</v>
      </c>
      <c r="J29" s="59">
        <f t="shared" si="6"/>
        <v>6.5162907268170311E-2</v>
      </c>
      <c r="K29" s="60">
        <f t="shared" si="6"/>
        <v>-0.37647058823529411</v>
      </c>
      <c r="L29" s="61">
        <f t="shared" si="6"/>
        <v>-0.20754716981132071</v>
      </c>
      <c r="N29" s="365">
        <v>0</v>
      </c>
      <c r="O29" s="366">
        <v>0</v>
      </c>
      <c r="P29" s="366">
        <v>0</v>
      </c>
      <c r="Q29" s="367">
        <v>0</v>
      </c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372">
        <f t="shared" si="8"/>
        <v>3.99</v>
      </c>
      <c r="W29" s="373">
        <f t="shared" si="8"/>
        <v>4.25</v>
      </c>
      <c r="X29" s="373">
        <f t="shared" si="8"/>
        <v>2.65</v>
      </c>
      <c r="Y29" s="374">
        <f t="shared" si="8"/>
        <v>2.1</v>
      </c>
      <c r="Z29" s="59">
        <f t="shared" si="9"/>
        <v>6.5162907268170311E-2</v>
      </c>
      <c r="AA29" s="60">
        <f t="shared" si="9"/>
        <v>-0.37647058823529411</v>
      </c>
      <c r="AB29" s="61">
        <f t="shared" si="9"/>
        <v>-0.20754716981132071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368">
        <v>0.01</v>
      </c>
      <c r="G30" s="173">
        <v>0.05</v>
      </c>
      <c r="H30" s="173">
        <v>0.04</v>
      </c>
      <c r="I30" s="174">
        <v>0.04</v>
      </c>
      <c r="J30" s="68">
        <f t="shared" si="6"/>
        <v>4</v>
      </c>
      <c r="K30" s="69">
        <f t="shared" si="6"/>
        <v>-0.20000000000000007</v>
      </c>
      <c r="L30" s="70">
        <f t="shared" si="6"/>
        <v>0</v>
      </c>
      <c r="N30" s="369">
        <v>0</v>
      </c>
      <c r="O30" s="370">
        <v>0</v>
      </c>
      <c r="P30" s="370">
        <v>0</v>
      </c>
      <c r="Q30" s="371">
        <v>0</v>
      </c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375">
        <f t="shared" si="8"/>
        <v>0.01</v>
      </c>
      <c r="W30" s="376">
        <f t="shared" si="8"/>
        <v>0.05</v>
      </c>
      <c r="X30" s="376">
        <f t="shared" si="8"/>
        <v>0.04</v>
      </c>
      <c r="Y30" s="377">
        <f t="shared" si="8"/>
        <v>0.04</v>
      </c>
      <c r="Z30" s="65">
        <f t="shared" si="9"/>
        <v>4</v>
      </c>
      <c r="AA30" s="66">
        <f t="shared" si="9"/>
        <v>-0.20000000000000007</v>
      </c>
      <c r="AB30" s="67">
        <f t="shared" si="9"/>
        <v>0</v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101">
        <v>50.1</v>
      </c>
      <c r="G33" s="102">
        <v>51.7</v>
      </c>
      <c r="H33" s="102">
        <v>51.22</v>
      </c>
      <c r="I33" s="103">
        <v>51</v>
      </c>
      <c r="J33" s="62">
        <f t="shared" ref="J33:L36" si="10">IF(OR(G33=0,F33=0),"",G33/F33-1)</f>
        <v>3.1936127744510934E-2</v>
      </c>
      <c r="K33" s="63">
        <f t="shared" si="10"/>
        <v>-9.2843326885880817E-3</v>
      </c>
      <c r="L33" s="64">
        <f t="shared" si="10"/>
        <v>-4.2951971885981655E-3</v>
      </c>
      <c r="N33" s="350">
        <v>0.125</v>
      </c>
      <c r="O33" s="351">
        <v>0.14000000000000001</v>
      </c>
      <c r="P33" s="351">
        <v>9.2999999999999999E-2</v>
      </c>
      <c r="Q33" s="352">
        <v>0.1</v>
      </c>
      <c r="R33" s="62">
        <f t="shared" ref="R33:T36" si="11">IF(OR(O33=0,N33=0),"",O33/N33-1)</f>
        <v>0.12000000000000011</v>
      </c>
      <c r="S33" s="63">
        <f t="shared" si="11"/>
        <v>-0.33571428571428574</v>
      </c>
      <c r="T33" s="64">
        <f t="shared" si="11"/>
        <v>7.526881720430123E-2</v>
      </c>
      <c r="V33" s="353">
        <f t="shared" ref="V33:Y34" si="12">+F33+N33</f>
        <v>50.225000000000001</v>
      </c>
      <c r="W33" s="354">
        <f t="shared" si="12"/>
        <v>51.84</v>
      </c>
      <c r="X33" s="354">
        <f t="shared" si="12"/>
        <v>51.313000000000002</v>
      </c>
      <c r="Y33" s="355">
        <f t="shared" si="12"/>
        <v>51.1</v>
      </c>
      <c r="Z33" s="62">
        <f t="shared" ref="Z33:AB36" si="13">IF(OR(W33=0,V33=0),"",W33/V33-1)</f>
        <v>3.2155301144848325E-2</v>
      </c>
      <c r="AA33" s="63">
        <f t="shared" si="13"/>
        <v>-1.0165895061728381E-2</v>
      </c>
      <c r="AB33" s="64">
        <f t="shared" si="13"/>
        <v>-4.1509948745932501E-3</v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104">
        <v>53.5</v>
      </c>
      <c r="G34" s="105">
        <v>53.1</v>
      </c>
      <c r="H34" s="105">
        <v>51.26</v>
      </c>
      <c r="I34" s="106">
        <v>51</v>
      </c>
      <c r="J34" s="65">
        <f t="shared" si="10"/>
        <v>-7.4766355140186702E-3</v>
      </c>
      <c r="K34" s="66">
        <f t="shared" si="10"/>
        <v>-3.4651600753295764E-2</v>
      </c>
      <c r="L34" s="67">
        <f t="shared" si="10"/>
        <v>-5.0721810378462351E-3</v>
      </c>
      <c r="N34" s="356">
        <v>0.156</v>
      </c>
      <c r="O34" s="357">
        <v>0.16600000000000001</v>
      </c>
      <c r="P34" s="357">
        <v>0.126</v>
      </c>
      <c r="Q34" s="358">
        <v>0.11</v>
      </c>
      <c r="R34" s="65">
        <f t="shared" si="11"/>
        <v>6.4102564102564097E-2</v>
      </c>
      <c r="S34" s="66">
        <f t="shared" si="11"/>
        <v>-0.24096385542168675</v>
      </c>
      <c r="T34" s="67">
        <f t="shared" si="11"/>
        <v>-0.12698412698412698</v>
      </c>
      <c r="V34" s="359">
        <f t="shared" si="12"/>
        <v>53.655999999999999</v>
      </c>
      <c r="W34" s="360">
        <f t="shared" si="12"/>
        <v>53.265999999999998</v>
      </c>
      <c r="X34" s="360">
        <f t="shared" si="12"/>
        <v>51.385999999999996</v>
      </c>
      <c r="Y34" s="361">
        <f t="shared" si="12"/>
        <v>51.11</v>
      </c>
      <c r="Z34" s="65">
        <f t="shared" si="13"/>
        <v>-7.2685254212017103E-3</v>
      </c>
      <c r="AA34" s="66">
        <f t="shared" si="13"/>
        <v>-3.5294559381218837E-2</v>
      </c>
      <c r="AB34" s="67">
        <f t="shared" si="13"/>
        <v>-5.371112754446683E-3</v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107">
        <f>+F33+F34</f>
        <v>103.6</v>
      </c>
      <c r="G35" s="108">
        <f>+G33+G34</f>
        <v>104.80000000000001</v>
      </c>
      <c r="H35" s="108">
        <f>+H33+H34</f>
        <v>102.47999999999999</v>
      </c>
      <c r="I35" s="109">
        <f>+I33+I34</f>
        <v>102</v>
      </c>
      <c r="J35" s="68">
        <f t="shared" si="10"/>
        <v>1.1583011583011782E-2</v>
      </c>
      <c r="K35" s="69">
        <f t="shared" si="10"/>
        <v>-2.2137404580152897E-2</v>
      </c>
      <c r="L35" s="70">
        <f t="shared" si="10"/>
        <v>-4.6838407494144141E-3</v>
      </c>
      <c r="M35" s="7"/>
      <c r="N35" s="362">
        <f>+N33+N34</f>
        <v>0.28100000000000003</v>
      </c>
      <c r="O35" s="363">
        <f>+O33+O34</f>
        <v>0.30600000000000005</v>
      </c>
      <c r="P35" s="363">
        <f>+P33+P34</f>
        <v>0.219</v>
      </c>
      <c r="Q35" s="364">
        <f>+Q33+Q34</f>
        <v>0.21000000000000002</v>
      </c>
      <c r="R35" s="68">
        <f t="shared" si="11"/>
        <v>8.8967971530249157E-2</v>
      </c>
      <c r="S35" s="69">
        <f t="shared" si="11"/>
        <v>-0.28431372549019618</v>
      </c>
      <c r="T35" s="70">
        <f t="shared" si="11"/>
        <v>-4.1095890410958846E-2</v>
      </c>
      <c r="U35" s="7"/>
      <c r="V35" s="107">
        <f>+V33+V34</f>
        <v>103.881</v>
      </c>
      <c r="W35" s="108">
        <f>+W33+W34</f>
        <v>105.10599999999999</v>
      </c>
      <c r="X35" s="108">
        <f>+X33+X34</f>
        <v>102.699</v>
      </c>
      <c r="Y35" s="109">
        <f>+Y33+Y34</f>
        <v>102.21000000000001</v>
      </c>
      <c r="Z35" s="68">
        <f t="shared" si="13"/>
        <v>1.1792339311327282E-2</v>
      </c>
      <c r="AA35" s="69">
        <f t="shared" si="13"/>
        <v>-2.2900690731261775E-2</v>
      </c>
      <c r="AB35" s="70">
        <f t="shared" si="13"/>
        <v>-4.7614874536264784E-3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368">
        <v>18.899999999999999</v>
      </c>
      <c r="G36" s="173">
        <v>18.899999999999999</v>
      </c>
      <c r="H36" s="173">
        <v>18.63</v>
      </c>
      <c r="I36" s="174">
        <v>18.55</v>
      </c>
      <c r="J36" s="68">
        <f t="shared" si="10"/>
        <v>0</v>
      </c>
      <c r="K36" s="69">
        <f t="shared" si="10"/>
        <v>-1.4285714285714235E-2</v>
      </c>
      <c r="L36" s="70">
        <f t="shared" si="10"/>
        <v>-4.2941492216853616E-3</v>
      </c>
      <c r="N36" s="369">
        <v>5.0999999999999997E-2</v>
      </c>
      <c r="O36" s="370">
        <v>5.5E-2</v>
      </c>
      <c r="P36" s="370">
        <v>0.04</v>
      </c>
      <c r="Q36" s="371">
        <v>3.7999999999999999E-2</v>
      </c>
      <c r="R36" s="68">
        <f t="shared" si="11"/>
        <v>7.8431372549019773E-2</v>
      </c>
      <c r="S36" s="69">
        <f t="shared" si="11"/>
        <v>-0.27272727272727271</v>
      </c>
      <c r="T36" s="70">
        <f t="shared" si="11"/>
        <v>-5.0000000000000044E-2</v>
      </c>
      <c r="V36" s="375">
        <f>+F36+N36</f>
        <v>18.950999999999997</v>
      </c>
      <c r="W36" s="376">
        <f>+G36+O36</f>
        <v>18.954999999999998</v>
      </c>
      <c r="X36" s="376">
        <f>+H36+P36</f>
        <v>18.669999999999998</v>
      </c>
      <c r="Y36" s="377">
        <f>+I36+Q36</f>
        <v>18.588000000000001</v>
      </c>
      <c r="Z36" s="68">
        <f t="shared" si="13"/>
        <v>2.1107065590220131E-4</v>
      </c>
      <c r="AA36" s="69">
        <f t="shared" si="13"/>
        <v>-1.5035610656818799E-2</v>
      </c>
      <c r="AB36" s="70">
        <f t="shared" si="13"/>
        <v>-4.3920728441347867E-3</v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101">
        <v>394.21</v>
      </c>
      <c r="G42" s="102">
        <v>380.78</v>
      </c>
      <c r="H42" s="102">
        <v>385.94</v>
      </c>
      <c r="I42" s="103">
        <v>392</v>
      </c>
      <c r="J42" s="62">
        <f t="shared" ref="J42:L44" si="14">IF(OR(G42=0,F42=0),"",G42/F42-1)</f>
        <v>-3.4068136272545124E-2</v>
      </c>
      <c r="K42" s="63">
        <f t="shared" si="14"/>
        <v>1.3551131887179046E-2</v>
      </c>
      <c r="L42" s="64">
        <f t="shared" si="14"/>
        <v>1.5701922578639227E-2</v>
      </c>
      <c r="N42" s="101">
        <v>71.88</v>
      </c>
      <c r="O42" s="102">
        <v>66.08</v>
      </c>
      <c r="P42" s="102">
        <v>60.11</v>
      </c>
      <c r="Q42" s="103">
        <v>63</v>
      </c>
      <c r="R42" s="62">
        <f t="shared" ref="R42:T44" si="15">IF(OR(O42=0,N42=0),"",O42/N42-1)</f>
        <v>-8.0690038953811882E-2</v>
      </c>
      <c r="S42" s="63">
        <f t="shared" si="15"/>
        <v>-9.0345036319612548E-2</v>
      </c>
      <c r="T42" s="64">
        <f t="shared" si="15"/>
        <v>4.8078522708367988E-2</v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104">
        <v>377.84</v>
      </c>
      <c r="G43" s="105">
        <v>378.04</v>
      </c>
      <c r="H43" s="105">
        <v>388</v>
      </c>
      <c r="I43" s="106">
        <v>390</v>
      </c>
      <c r="J43" s="65">
        <f t="shared" si="14"/>
        <v>5.2932458183363451E-4</v>
      </c>
      <c r="K43" s="66">
        <f t="shared" si="14"/>
        <v>2.634641836842655E-2</v>
      </c>
      <c r="L43" s="67">
        <f t="shared" si="14"/>
        <v>5.1546391752577136E-3</v>
      </c>
      <c r="N43" s="104">
        <v>55.8</v>
      </c>
      <c r="O43" s="105">
        <v>58.2</v>
      </c>
      <c r="P43" s="105">
        <v>58</v>
      </c>
      <c r="Q43" s="106">
        <v>59</v>
      </c>
      <c r="R43" s="65">
        <f t="shared" si="15"/>
        <v>4.3010752688172227E-2</v>
      </c>
      <c r="S43" s="66">
        <f t="shared" si="15"/>
        <v>-3.4364261168385868E-3</v>
      </c>
      <c r="T43" s="67">
        <f t="shared" si="15"/>
        <v>1.7241379310344751E-2</v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386.02499999999998</v>
      </c>
      <c r="G44" s="108">
        <f>(G42+G43)/2</f>
        <v>379.40999999999997</v>
      </c>
      <c r="H44" s="108">
        <f>(H42+H43)/2</f>
        <v>386.97</v>
      </c>
      <c r="I44" s="109">
        <f>(I42+I43)/2</f>
        <v>391</v>
      </c>
      <c r="J44" s="68">
        <f t="shared" si="14"/>
        <v>-1.7136195842238244E-2</v>
      </c>
      <c r="K44" s="69">
        <f t="shared" si="14"/>
        <v>1.9925674072902799E-2</v>
      </c>
      <c r="L44" s="70">
        <f t="shared" si="14"/>
        <v>1.0414243998242645E-2</v>
      </c>
      <c r="M44" s="7"/>
      <c r="N44" s="107">
        <f>(N42+N43)/2</f>
        <v>63.839999999999996</v>
      </c>
      <c r="O44" s="108">
        <f>(O42+O43)/2</f>
        <v>62.14</v>
      </c>
      <c r="P44" s="108">
        <f>(P42+P43)/2</f>
        <v>59.055</v>
      </c>
      <c r="Q44" s="108">
        <f>(Q42+Q43)/2</f>
        <v>61</v>
      </c>
      <c r="R44" s="68">
        <f t="shared" si="15"/>
        <v>-2.6629072681704224E-2</v>
      </c>
      <c r="S44" s="69">
        <f t="shared" si="15"/>
        <v>-4.9645960733826877E-2</v>
      </c>
      <c r="T44" s="70">
        <f t="shared" si="15"/>
        <v>3.2935399204131688E-2</v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1">
        <v>233.21</v>
      </c>
      <c r="G48" s="102">
        <v>217.64</v>
      </c>
      <c r="H48" s="102">
        <v>229.42</v>
      </c>
      <c r="I48" s="103">
        <v>242</v>
      </c>
      <c r="J48" s="62">
        <f t="shared" ref="J48:L50" si="16">IF(OR(G48=0,F48=0),"",G48/F48-1)</f>
        <v>-6.6763860897903315E-2</v>
      </c>
      <c r="K48" s="63">
        <f t="shared" si="16"/>
        <v>5.4126079764749147E-2</v>
      </c>
      <c r="L48" s="64">
        <f t="shared" si="16"/>
        <v>5.4833929038444751E-2</v>
      </c>
      <c r="N48" s="101">
        <v>108.37</v>
      </c>
      <c r="O48" s="102">
        <v>103.24</v>
      </c>
      <c r="P48" s="102">
        <v>106.12</v>
      </c>
      <c r="Q48" s="103">
        <v>110</v>
      </c>
      <c r="R48" s="62">
        <f t="shared" ref="R48:T50" si="17">IF(OR(O48=0,N48=0),"",O48/N48-1)</f>
        <v>-4.7337824121066796E-2</v>
      </c>
      <c r="S48" s="63">
        <f t="shared" si="17"/>
        <v>2.7896164277412039E-2</v>
      </c>
      <c r="T48" s="64">
        <f t="shared" si="17"/>
        <v>3.6562382208820132E-2</v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4">
        <v>223.46</v>
      </c>
      <c r="G49" s="105">
        <v>221.82</v>
      </c>
      <c r="H49" s="105">
        <v>240</v>
      </c>
      <c r="I49" s="106">
        <v>245</v>
      </c>
      <c r="J49" s="65">
        <f t="shared" si="16"/>
        <v>-7.3391210954981689E-3</v>
      </c>
      <c r="K49" s="66">
        <f t="shared" si="16"/>
        <v>8.1958344603732858E-2</v>
      </c>
      <c r="L49" s="67">
        <f t="shared" si="16"/>
        <v>2.0833333333333259E-2</v>
      </c>
      <c r="N49" s="104">
        <v>102.8</v>
      </c>
      <c r="O49" s="105">
        <v>107.59</v>
      </c>
      <c r="P49" s="105">
        <v>108</v>
      </c>
      <c r="Q49" s="106">
        <v>112</v>
      </c>
      <c r="R49" s="65">
        <f t="shared" si="17"/>
        <v>4.6595330739299667E-2</v>
      </c>
      <c r="S49" s="66">
        <f t="shared" si="17"/>
        <v>3.8107630820707339E-3</v>
      </c>
      <c r="T49" s="67">
        <f t="shared" si="17"/>
        <v>3.7037037037036979E-2</v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f>(F48+F49)/2</f>
        <v>228.33500000000001</v>
      </c>
      <c r="G50" s="108">
        <f>(G48+G49)/2</f>
        <v>219.73</v>
      </c>
      <c r="H50" s="108">
        <f>(H48+H49)/2</f>
        <v>234.70999999999998</v>
      </c>
      <c r="I50" s="109">
        <f>(I48+I49)/2</f>
        <v>243.5</v>
      </c>
      <c r="J50" s="68">
        <f t="shared" si="16"/>
        <v>-3.7685856307618226E-2</v>
      </c>
      <c r="K50" s="69">
        <f t="shared" si="16"/>
        <v>6.8174577891048083E-2</v>
      </c>
      <c r="L50" s="70">
        <f t="shared" si="16"/>
        <v>3.7450470793745527E-2</v>
      </c>
      <c r="M50" s="7"/>
      <c r="N50" s="107">
        <f>(N48+N49)/2</f>
        <v>105.58500000000001</v>
      </c>
      <c r="O50" s="108">
        <f>(O48+O49)/2</f>
        <v>105.41499999999999</v>
      </c>
      <c r="P50" s="108">
        <f>(P48+P49)/2</f>
        <v>107.06</v>
      </c>
      <c r="Q50" s="109">
        <f>(Q48+Q49)/2</f>
        <v>111</v>
      </c>
      <c r="R50" s="68">
        <f t="shared" si="17"/>
        <v>-1.6100771889947518E-3</v>
      </c>
      <c r="S50" s="69">
        <f t="shared" si="17"/>
        <v>1.5604989802210367E-2</v>
      </c>
      <c r="T50" s="70">
        <f t="shared" si="17"/>
        <v>3.6801793386885828E-2</v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F17:AB17 F26:I26 V33:AB33 V36:Y36 F35:AB35 V34:Y34 V30:Y30 V24:Y25 V29:AB29 V27:Y28 V18:Y21 V15:Y16 U26:Y26 M26:Q26 F44:T44">
    <cfRule type="cellIs" dxfId="8" priority="3" stopIfTrue="1" operator="equal">
      <formula>0</formula>
    </cfRule>
  </conditionalFormatting>
  <conditionalFormatting sqref="N50:T50">
    <cfRule type="cellIs" dxfId="7" priority="2" stopIfTrue="1" operator="equal">
      <formula>0</formula>
    </cfRule>
  </conditionalFormatting>
  <conditionalFormatting sqref="F12:I12">
    <cfRule type="cellIs" dxfId="6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M58"/>
  <sheetViews>
    <sheetView showGridLines="0" zoomScale="60" zoomScaleNormal="60" workbookViewId="0">
      <selection activeCell="C21" sqref="C21"/>
    </sheetView>
  </sheetViews>
  <sheetFormatPr defaultColWidth="9" defaultRowHeight="15.75" x14ac:dyDescent="0.25"/>
  <cols>
    <col min="1" max="1" width="2.625" style="122" customWidth="1"/>
    <col min="2" max="2" width="18.875" style="122" customWidth="1"/>
    <col min="3" max="3" width="26.625" style="122" customWidth="1"/>
    <col min="4" max="4" width="14.375" style="122" customWidth="1"/>
    <col min="5" max="5" width="3.125" style="122" customWidth="1"/>
    <col min="6" max="9" width="12.375" style="122" customWidth="1"/>
    <col min="10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87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92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71">
        <v>1428.4</v>
      </c>
      <c r="G9" s="72">
        <v>1436</v>
      </c>
      <c r="H9" s="72"/>
      <c r="I9" s="73"/>
      <c r="J9" s="56">
        <f t="shared" ref="J9:L12" si="0">IF(OR(G9=0,F9=0),"",G9/F9-1)</f>
        <v>5.3206384766171233E-3</v>
      </c>
      <c r="K9" s="57" t="str">
        <f t="shared" si="0"/>
        <v/>
      </c>
      <c r="L9" s="58" t="str">
        <f t="shared" si="0"/>
        <v/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74">
        <v>336.8</v>
      </c>
      <c r="G10" s="75">
        <v>326.10000000000002</v>
      </c>
      <c r="H10" s="75"/>
      <c r="I10" s="76"/>
      <c r="J10" s="59">
        <f t="shared" si="0"/>
        <v>-3.1769596199524908E-2</v>
      </c>
      <c r="K10" s="60" t="str">
        <f t="shared" si="0"/>
        <v/>
      </c>
      <c r="L10" s="61" t="str">
        <f t="shared" si="0"/>
        <v/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74">
        <v>175.8</v>
      </c>
      <c r="G11" s="75">
        <v>187.6</v>
      </c>
      <c r="H11" s="75"/>
      <c r="I11" s="76"/>
      <c r="J11" s="59">
        <f t="shared" si="0"/>
        <v>6.7121729237770156E-2</v>
      </c>
      <c r="K11" s="60" t="str">
        <f t="shared" si="0"/>
        <v/>
      </c>
      <c r="L11" s="61" t="str">
        <f t="shared" si="0"/>
        <v/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98">
        <f>+F10+F11</f>
        <v>512.6</v>
      </c>
      <c r="G12" s="99">
        <f>+G10+G11</f>
        <v>513.70000000000005</v>
      </c>
      <c r="H12" s="99">
        <f>+H10+H11</f>
        <v>0</v>
      </c>
      <c r="I12" s="100">
        <f>+I10+I11</f>
        <v>0</v>
      </c>
      <c r="J12" s="59">
        <f t="shared" si="0"/>
        <v>2.1459227467812703E-3</v>
      </c>
      <c r="K12" s="60" t="str">
        <f t="shared" si="0"/>
        <v/>
      </c>
      <c r="L12" s="61" t="str">
        <f t="shared" si="0"/>
        <v/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77">
        <v>62.5</v>
      </c>
      <c r="G15" s="78">
        <v>61</v>
      </c>
      <c r="H15" s="78">
        <v>61.76</v>
      </c>
      <c r="I15" s="79"/>
      <c r="J15" s="62">
        <f t="shared" ref="J15:L21" si="1">IF(OR(G15=0,F15=0),"",G15/F15-1)</f>
        <v>-2.4000000000000021E-2</v>
      </c>
      <c r="K15" s="63">
        <f t="shared" si="1"/>
        <v>1.2459016393442601E-2</v>
      </c>
      <c r="L15" s="64" t="str">
        <f t="shared" si="1"/>
        <v/>
      </c>
      <c r="N15" s="77">
        <v>1.83</v>
      </c>
      <c r="O15" s="78">
        <v>1.34</v>
      </c>
      <c r="P15" s="78">
        <v>1.1399999999999999</v>
      </c>
      <c r="Q15" s="79"/>
      <c r="R15" s="62">
        <f t="shared" ref="R15:T21" si="2">IF(OR(O15=0,N15=0),"",O15/N15-1)</f>
        <v>-0.26775956284153002</v>
      </c>
      <c r="S15" s="63">
        <f t="shared" si="2"/>
        <v>-0.14925373134328368</v>
      </c>
      <c r="T15" s="64" t="str">
        <f t="shared" si="2"/>
        <v/>
      </c>
      <c r="V15" s="86">
        <f>+F15+N15</f>
        <v>64.33</v>
      </c>
      <c r="W15" s="87">
        <f t="shared" ref="W15:Y21" si="3">+G15+O15</f>
        <v>62.34</v>
      </c>
      <c r="X15" s="87">
        <f t="shared" si="3"/>
        <v>62.9</v>
      </c>
      <c r="Y15" s="88">
        <f t="shared" si="3"/>
        <v>0</v>
      </c>
      <c r="Z15" s="59">
        <f t="shared" ref="Z15:AB21" si="4">IF(OR(W15=0,V15=0),"",W15/V15-1)</f>
        <v>-3.0934245297683738E-2</v>
      </c>
      <c r="AA15" s="60">
        <f t="shared" si="4"/>
        <v>8.9829964709655652E-3</v>
      </c>
      <c r="AB15" s="61" t="str">
        <f t="shared" si="4"/>
        <v/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80">
        <v>77.400000000000006</v>
      </c>
      <c r="G16" s="81">
        <v>66.7</v>
      </c>
      <c r="H16" s="81"/>
      <c r="I16" s="82"/>
      <c r="J16" s="65">
        <f t="shared" si="1"/>
        <v>-0.13824289405684753</v>
      </c>
      <c r="K16" s="66" t="str">
        <f t="shared" si="1"/>
        <v/>
      </c>
      <c r="L16" s="67" t="str">
        <f t="shared" si="1"/>
        <v/>
      </c>
      <c r="N16" s="80">
        <v>1.94</v>
      </c>
      <c r="O16" s="81">
        <v>1.31</v>
      </c>
      <c r="P16" s="81"/>
      <c r="Q16" s="82"/>
      <c r="R16" s="65">
        <f t="shared" si="2"/>
        <v>-0.32474226804123707</v>
      </c>
      <c r="S16" s="66" t="str">
        <f t="shared" si="2"/>
        <v/>
      </c>
      <c r="T16" s="67" t="str">
        <f t="shared" si="2"/>
        <v/>
      </c>
      <c r="V16" s="89">
        <f t="shared" ref="V16:V21" si="5">+F16+N16</f>
        <v>79.34</v>
      </c>
      <c r="W16" s="90">
        <f t="shared" si="3"/>
        <v>68.010000000000005</v>
      </c>
      <c r="X16" s="90">
        <f t="shared" si="3"/>
        <v>0</v>
      </c>
      <c r="Y16" s="91">
        <f t="shared" si="3"/>
        <v>0</v>
      </c>
      <c r="Z16" s="68">
        <f t="shared" si="4"/>
        <v>-0.1428031257877489</v>
      </c>
      <c r="AA16" s="69" t="str">
        <f t="shared" si="4"/>
        <v/>
      </c>
      <c r="AB16" s="70" t="str">
        <f t="shared" si="4"/>
        <v/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98">
        <f>+F15+F16</f>
        <v>139.9</v>
      </c>
      <c r="G17" s="99">
        <f>+G15+G16</f>
        <v>127.7</v>
      </c>
      <c r="H17" s="99">
        <f>+H15+H16</f>
        <v>61.76</v>
      </c>
      <c r="I17" s="100">
        <f>+I15+I16</f>
        <v>0</v>
      </c>
      <c r="J17" s="68">
        <f t="shared" si="1"/>
        <v>-8.7205146533238076E-2</v>
      </c>
      <c r="K17" s="69">
        <f t="shared" si="1"/>
        <v>-0.51636648394675022</v>
      </c>
      <c r="L17" s="70" t="str">
        <f t="shared" si="1"/>
        <v/>
      </c>
      <c r="M17" s="7">
        <f>+M15+M16</f>
        <v>0</v>
      </c>
      <c r="N17" s="98">
        <f>+N15+N16</f>
        <v>3.77</v>
      </c>
      <c r="O17" s="99">
        <f>+O15+O16</f>
        <v>2.6500000000000004</v>
      </c>
      <c r="P17" s="99">
        <f>+P15+P16</f>
        <v>1.1399999999999999</v>
      </c>
      <c r="Q17" s="100">
        <f>+Q15+Q16</f>
        <v>0</v>
      </c>
      <c r="R17" s="68">
        <f t="shared" si="2"/>
        <v>-0.29708222811671081</v>
      </c>
      <c r="S17" s="69">
        <f t="shared" si="2"/>
        <v>-0.56981132075471708</v>
      </c>
      <c r="T17" s="70" t="str">
        <f t="shared" si="2"/>
        <v/>
      </c>
      <c r="U17" s="7"/>
      <c r="V17" s="98">
        <f>+V15+V16</f>
        <v>143.67000000000002</v>
      </c>
      <c r="W17" s="99">
        <f>+W15+W16</f>
        <v>130.35000000000002</v>
      </c>
      <c r="X17" s="99">
        <f>+X15+X16</f>
        <v>62.9</v>
      </c>
      <c r="Y17" s="100">
        <f>+Y15+Y16</f>
        <v>0</v>
      </c>
      <c r="Z17" s="68">
        <f t="shared" si="4"/>
        <v>-9.2712466068072596E-2</v>
      </c>
      <c r="AA17" s="69">
        <f t="shared" si="4"/>
        <v>-0.5174530111238973</v>
      </c>
      <c r="AB17" s="70" t="str">
        <f t="shared" si="4"/>
        <v/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74"/>
      <c r="G18" s="75"/>
      <c r="H18" s="75"/>
      <c r="I18" s="76"/>
      <c r="J18" s="59" t="str">
        <f t="shared" si="1"/>
        <v/>
      </c>
      <c r="K18" s="60" t="str">
        <f t="shared" si="1"/>
        <v/>
      </c>
      <c r="L18" s="61" t="str">
        <f t="shared" si="1"/>
        <v/>
      </c>
      <c r="N18" s="74"/>
      <c r="O18" s="75"/>
      <c r="P18" s="75"/>
      <c r="Q18" s="76"/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92">
        <f t="shared" si="5"/>
        <v>0</v>
      </c>
      <c r="W18" s="93">
        <f t="shared" si="3"/>
        <v>0</v>
      </c>
      <c r="X18" s="93">
        <f t="shared" si="3"/>
        <v>0</v>
      </c>
      <c r="Y18" s="94">
        <f t="shared" si="3"/>
        <v>0</v>
      </c>
      <c r="Z18" s="59" t="str">
        <f t="shared" si="4"/>
        <v/>
      </c>
      <c r="AA18" s="60" t="str">
        <f t="shared" si="4"/>
        <v/>
      </c>
      <c r="AB18" s="61" t="str">
        <f t="shared" si="4"/>
        <v/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83"/>
      <c r="G19" s="84"/>
      <c r="H19" s="84"/>
      <c r="I19" s="85"/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/>
      <c r="O19" s="84"/>
      <c r="P19" s="84"/>
      <c r="Q19" s="85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95">
        <f t="shared" si="5"/>
        <v>0</v>
      </c>
      <c r="W19" s="96">
        <f t="shared" si="3"/>
        <v>0</v>
      </c>
      <c r="X19" s="96">
        <f t="shared" si="3"/>
        <v>0</v>
      </c>
      <c r="Y19" s="97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74"/>
      <c r="G20" s="75"/>
      <c r="H20" s="75"/>
      <c r="I20" s="76"/>
      <c r="J20" s="59" t="str">
        <f t="shared" si="1"/>
        <v/>
      </c>
      <c r="K20" s="60" t="str">
        <f t="shared" si="1"/>
        <v/>
      </c>
      <c r="L20" s="61" t="str">
        <f t="shared" si="1"/>
        <v/>
      </c>
      <c r="N20" s="74"/>
      <c r="O20" s="75"/>
      <c r="P20" s="75"/>
      <c r="Q20" s="76"/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92">
        <f t="shared" si="5"/>
        <v>0</v>
      </c>
      <c r="W20" s="93">
        <f t="shared" si="3"/>
        <v>0</v>
      </c>
      <c r="X20" s="93">
        <f t="shared" si="3"/>
        <v>0</v>
      </c>
      <c r="Y20" s="94">
        <f t="shared" si="3"/>
        <v>0</v>
      </c>
      <c r="Z20" s="59" t="str">
        <f t="shared" si="4"/>
        <v/>
      </c>
      <c r="AA20" s="60" t="str">
        <f t="shared" si="4"/>
        <v/>
      </c>
      <c r="AB20" s="61" t="str">
        <f t="shared" si="4"/>
        <v/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83"/>
      <c r="G21" s="84"/>
      <c r="H21" s="84"/>
      <c r="I21" s="85"/>
      <c r="J21" s="68" t="str">
        <f t="shared" si="1"/>
        <v/>
      </c>
      <c r="K21" s="69" t="str">
        <f t="shared" si="1"/>
        <v/>
      </c>
      <c r="L21" s="70" t="str">
        <f t="shared" si="1"/>
        <v/>
      </c>
      <c r="N21" s="83"/>
      <c r="O21" s="84"/>
      <c r="P21" s="84"/>
      <c r="Q21" s="85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95">
        <f t="shared" si="5"/>
        <v>0</v>
      </c>
      <c r="W21" s="96">
        <f t="shared" si="3"/>
        <v>0</v>
      </c>
      <c r="X21" s="96">
        <f t="shared" si="3"/>
        <v>0</v>
      </c>
      <c r="Y21" s="97">
        <f t="shared" si="3"/>
        <v>0</v>
      </c>
      <c r="Z21" s="68" t="str">
        <f t="shared" si="4"/>
        <v/>
      </c>
      <c r="AA21" s="69" t="str">
        <f t="shared" si="4"/>
        <v/>
      </c>
      <c r="AB21" s="70" t="str">
        <f t="shared" si="4"/>
        <v/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77">
        <v>62.5</v>
      </c>
      <c r="G24" s="78">
        <v>61</v>
      </c>
      <c r="H24" s="78">
        <v>52.79</v>
      </c>
      <c r="I24" s="79"/>
      <c r="J24" s="59">
        <f t="shared" ref="J24:L30" si="6">IF(OR(G24=0,F24=0),"",G24/F24-1)</f>
        <v>-2.4000000000000021E-2</v>
      </c>
      <c r="K24" s="60">
        <f t="shared" si="6"/>
        <v>-0.13459016393442624</v>
      </c>
      <c r="L24" s="61" t="str">
        <f t="shared" si="6"/>
        <v/>
      </c>
      <c r="N24" s="77">
        <v>1.8</v>
      </c>
      <c r="O24" s="78">
        <v>1.3</v>
      </c>
      <c r="P24" s="78">
        <v>1.1399999999999999</v>
      </c>
      <c r="Q24" s="79"/>
      <c r="R24" s="59">
        <f t="shared" ref="R24:T30" si="7">IF(OR(O24=0,N24=0),"",O24/N24-1)</f>
        <v>-0.27777777777777779</v>
      </c>
      <c r="S24" s="60">
        <f t="shared" si="7"/>
        <v>-0.12307692307692319</v>
      </c>
      <c r="T24" s="61" t="str">
        <f t="shared" si="7"/>
        <v/>
      </c>
      <c r="V24" s="86">
        <f t="shared" ref="V24:Y30" si="8">+F24+N24</f>
        <v>64.3</v>
      </c>
      <c r="W24" s="87">
        <f t="shared" si="8"/>
        <v>62.3</v>
      </c>
      <c r="X24" s="87">
        <f t="shared" si="8"/>
        <v>53.93</v>
      </c>
      <c r="Y24" s="88">
        <f t="shared" si="8"/>
        <v>0</v>
      </c>
      <c r="Z24" s="59">
        <f t="shared" ref="Z24:AB30" si="9">IF(OR(W24=0,V24=0),"",W24/V24-1)</f>
        <v>-3.1104199066874005E-2</v>
      </c>
      <c r="AA24" s="60">
        <f t="shared" si="9"/>
        <v>-0.13434991974317811</v>
      </c>
      <c r="AB24" s="61" t="str">
        <f t="shared" si="9"/>
        <v/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80">
        <v>67.2</v>
      </c>
      <c r="G25" s="81">
        <v>67.599999999999994</v>
      </c>
      <c r="H25" s="81"/>
      <c r="I25" s="82"/>
      <c r="J25" s="68">
        <f t="shared" si="6"/>
        <v>5.9523809523809312E-3</v>
      </c>
      <c r="K25" s="69" t="str">
        <f t="shared" si="6"/>
        <v/>
      </c>
      <c r="L25" s="70" t="str">
        <f t="shared" si="6"/>
        <v/>
      </c>
      <c r="N25" s="80">
        <v>1.7</v>
      </c>
      <c r="O25" s="81">
        <v>1.3</v>
      </c>
      <c r="P25" s="81"/>
      <c r="Q25" s="82"/>
      <c r="R25" s="68">
        <f t="shared" si="7"/>
        <v>-0.23529411764705876</v>
      </c>
      <c r="S25" s="69" t="str">
        <f t="shared" si="7"/>
        <v/>
      </c>
      <c r="T25" s="70" t="str">
        <f t="shared" si="7"/>
        <v/>
      </c>
      <c r="V25" s="89">
        <f t="shared" si="8"/>
        <v>68.900000000000006</v>
      </c>
      <c r="W25" s="90">
        <f t="shared" si="8"/>
        <v>68.899999999999991</v>
      </c>
      <c r="X25" s="90">
        <f t="shared" si="8"/>
        <v>0</v>
      </c>
      <c r="Y25" s="91">
        <f t="shared" si="8"/>
        <v>0</v>
      </c>
      <c r="Z25" s="68">
        <f t="shared" si="9"/>
        <v>-2.2204460492503131E-16</v>
      </c>
      <c r="AA25" s="69" t="str">
        <f t="shared" si="9"/>
        <v/>
      </c>
      <c r="AB25" s="70" t="str">
        <f t="shared" si="9"/>
        <v/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98">
        <f>+F24+F25</f>
        <v>129.69999999999999</v>
      </c>
      <c r="G26" s="99">
        <f>+G24+G25</f>
        <v>128.6</v>
      </c>
      <c r="H26" s="99">
        <f>+H24+H25</f>
        <v>52.79</v>
      </c>
      <c r="I26" s="100">
        <f>+I24+I25</f>
        <v>0</v>
      </c>
      <c r="J26" s="68">
        <f t="shared" si="6"/>
        <v>-8.4811102544332106E-3</v>
      </c>
      <c r="K26" s="69">
        <f t="shared" si="6"/>
        <v>-0.58950233281493003</v>
      </c>
      <c r="L26" s="70" t="str">
        <f t="shared" si="6"/>
        <v/>
      </c>
      <c r="M26" s="7"/>
      <c r="N26" s="98">
        <f>+N24+N25</f>
        <v>3.5</v>
      </c>
      <c r="O26" s="99">
        <f>+O24+O25</f>
        <v>2.6</v>
      </c>
      <c r="P26" s="99">
        <f>+P24+P25</f>
        <v>1.1399999999999999</v>
      </c>
      <c r="Q26" s="100">
        <f>+Q24+Q25</f>
        <v>0</v>
      </c>
      <c r="R26" s="68">
        <f t="shared" si="7"/>
        <v>-0.25714285714285712</v>
      </c>
      <c r="S26" s="69">
        <f t="shared" si="7"/>
        <v>-0.56153846153846154</v>
      </c>
      <c r="T26" s="70" t="str">
        <f t="shared" si="7"/>
        <v/>
      </c>
      <c r="U26" s="7"/>
      <c r="V26" s="98">
        <f>+V24+V25</f>
        <v>133.19999999999999</v>
      </c>
      <c r="W26" s="99">
        <f>+W24+W25</f>
        <v>131.19999999999999</v>
      </c>
      <c r="X26" s="99">
        <f>+X24+X25</f>
        <v>53.93</v>
      </c>
      <c r="Y26" s="100">
        <f>+Y24+Y25</f>
        <v>0</v>
      </c>
      <c r="Z26" s="68">
        <f t="shared" si="9"/>
        <v>-1.501501501501501E-2</v>
      </c>
      <c r="AA26" s="69">
        <f t="shared" si="9"/>
        <v>-0.58894817073170724</v>
      </c>
      <c r="AB26" s="70" t="str">
        <f t="shared" si="9"/>
        <v/>
      </c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74">
        <v>134.9</v>
      </c>
      <c r="G27" s="75">
        <v>136.69999999999999</v>
      </c>
      <c r="H27" s="75"/>
      <c r="I27" s="76"/>
      <c r="J27" s="59">
        <f t="shared" si="6"/>
        <v>1.3343217197924195E-2</v>
      </c>
      <c r="K27" s="60" t="str">
        <f t="shared" si="6"/>
        <v/>
      </c>
      <c r="L27" s="61" t="str">
        <f t="shared" si="6"/>
        <v/>
      </c>
      <c r="N27" s="74"/>
      <c r="O27" s="75"/>
      <c r="P27" s="75"/>
      <c r="Q27" s="76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92">
        <f t="shared" si="8"/>
        <v>134.9</v>
      </c>
      <c r="W27" s="93">
        <f t="shared" si="8"/>
        <v>136.69999999999999</v>
      </c>
      <c r="X27" s="93">
        <f t="shared" si="8"/>
        <v>0</v>
      </c>
      <c r="Y27" s="94">
        <f t="shared" si="8"/>
        <v>0</v>
      </c>
      <c r="Z27" s="59">
        <f t="shared" si="9"/>
        <v>1.3343217197924195E-2</v>
      </c>
      <c r="AA27" s="60" t="str">
        <f t="shared" si="9"/>
        <v/>
      </c>
      <c r="AB27" s="61" t="str">
        <f t="shared" si="9"/>
        <v/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83">
        <v>5</v>
      </c>
      <c r="G28" s="84">
        <v>5</v>
      </c>
      <c r="H28" s="84"/>
      <c r="I28" s="85"/>
      <c r="J28" s="68">
        <f t="shared" si="6"/>
        <v>0</v>
      </c>
      <c r="K28" s="69" t="str">
        <f t="shared" si="6"/>
        <v/>
      </c>
      <c r="L28" s="70" t="str">
        <f t="shared" si="6"/>
        <v/>
      </c>
      <c r="N28" s="83"/>
      <c r="O28" s="84"/>
      <c r="P28" s="84"/>
      <c r="Q28" s="85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95">
        <f t="shared" si="8"/>
        <v>5</v>
      </c>
      <c r="W28" s="96">
        <f t="shared" si="8"/>
        <v>5</v>
      </c>
      <c r="X28" s="96">
        <f t="shared" si="8"/>
        <v>0</v>
      </c>
      <c r="Y28" s="97">
        <f t="shared" si="8"/>
        <v>0</v>
      </c>
      <c r="Z28" s="68">
        <f t="shared" si="9"/>
        <v>0</v>
      </c>
      <c r="AA28" s="69" t="str">
        <f t="shared" si="9"/>
        <v/>
      </c>
      <c r="AB28" s="70" t="str">
        <f t="shared" si="9"/>
        <v/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74">
        <v>16.3</v>
      </c>
      <c r="G29" s="75">
        <v>17.8</v>
      </c>
      <c r="H29" s="75"/>
      <c r="I29" s="76"/>
      <c r="J29" s="59">
        <f t="shared" si="6"/>
        <v>9.2024539877300526E-2</v>
      </c>
      <c r="K29" s="60" t="str">
        <f t="shared" si="6"/>
        <v/>
      </c>
      <c r="L29" s="61" t="str">
        <f t="shared" si="6"/>
        <v/>
      </c>
      <c r="N29" s="74"/>
      <c r="O29" s="75"/>
      <c r="P29" s="75"/>
      <c r="Q29" s="76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92">
        <f t="shared" si="8"/>
        <v>16.3</v>
      </c>
      <c r="W29" s="93">
        <f t="shared" si="8"/>
        <v>17.8</v>
      </c>
      <c r="X29" s="93">
        <f t="shared" si="8"/>
        <v>0</v>
      </c>
      <c r="Y29" s="94">
        <f t="shared" si="8"/>
        <v>0</v>
      </c>
      <c r="Z29" s="59">
        <f t="shared" si="9"/>
        <v>9.2024539877300526E-2</v>
      </c>
      <c r="AA29" s="60" t="str">
        <f t="shared" si="9"/>
        <v/>
      </c>
      <c r="AB29" s="61" t="str">
        <f t="shared" si="9"/>
        <v/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83">
        <v>1</v>
      </c>
      <c r="G30" s="84">
        <v>1</v>
      </c>
      <c r="H30" s="84"/>
      <c r="I30" s="85"/>
      <c r="J30" s="68">
        <f t="shared" si="6"/>
        <v>0</v>
      </c>
      <c r="K30" s="69" t="str">
        <f t="shared" si="6"/>
        <v/>
      </c>
      <c r="L30" s="70" t="str">
        <f t="shared" si="6"/>
        <v/>
      </c>
      <c r="N30" s="83"/>
      <c r="O30" s="84"/>
      <c r="P30" s="84"/>
      <c r="Q30" s="85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95">
        <f t="shared" si="8"/>
        <v>1</v>
      </c>
      <c r="W30" s="96">
        <f t="shared" si="8"/>
        <v>1</v>
      </c>
      <c r="X30" s="96">
        <f t="shared" si="8"/>
        <v>0</v>
      </c>
      <c r="Y30" s="97">
        <f t="shared" si="8"/>
        <v>0</v>
      </c>
      <c r="Z30" s="65">
        <f t="shared" si="9"/>
        <v>0</v>
      </c>
      <c r="AA30" s="66" t="str">
        <f t="shared" si="9"/>
        <v/>
      </c>
      <c r="AB30" s="67" t="str">
        <f t="shared" si="9"/>
        <v/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77">
        <v>124.1</v>
      </c>
      <c r="G33" s="78">
        <v>124.9</v>
      </c>
      <c r="H33" s="78">
        <v>120.7</v>
      </c>
      <c r="I33" s="79"/>
      <c r="J33" s="62">
        <f t="shared" ref="J33:L36" si="10">IF(OR(G33=0,F33=0),"",G33/F33-1)</f>
        <v>6.4464141821112264E-3</v>
      </c>
      <c r="K33" s="63">
        <f t="shared" si="10"/>
        <v>-3.3626901521216945E-2</v>
      </c>
      <c r="L33" s="64" t="str">
        <f t="shared" si="10"/>
        <v/>
      </c>
      <c r="N33" s="77"/>
      <c r="O33" s="78"/>
      <c r="P33" s="78"/>
      <c r="Q33" s="79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86">
        <f t="shared" ref="V33:Y34" si="12">+F33+N33</f>
        <v>124.1</v>
      </c>
      <c r="W33" s="87">
        <f t="shared" si="12"/>
        <v>124.9</v>
      </c>
      <c r="X33" s="87">
        <f t="shared" si="12"/>
        <v>120.7</v>
      </c>
      <c r="Y33" s="88">
        <f t="shared" si="12"/>
        <v>0</v>
      </c>
      <c r="Z33" s="62">
        <f t="shared" ref="Z33:AB36" si="13">IF(OR(W33=0,V33=0),"",W33/V33-1)</f>
        <v>6.4464141821112264E-3</v>
      </c>
      <c r="AA33" s="63">
        <f t="shared" si="13"/>
        <v>-3.3626901521216945E-2</v>
      </c>
      <c r="AB33" s="64" t="str">
        <f t="shared" si="13"/>
        <v/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80">
        <v>131.69999999999999</v>
      </c>
      <c r="G34" s="81">
        <v>129.30000000000001</v>
      </c>
      <c r="H34" s="81"/>
      <c r="I34" s="82"/>
      <c r="J34" s="65">
        <f t="shared" si="10"/>
        <v>-1.8223234624145657E-2</v>
      </c>
      <c r="K34" s="66" t="str">
        <f t="shared" si="10"/>
        <v/>
      </c>
      <c r="L34" s="67" t="str">
        <f t="shared" si="10"/>
        <v/>
      </c>
      <c r="N34" s="80"/>
      <c r="O34" s="81"/>
      <c r="P34" s="81"/>
      <c r="Q34" s="82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89">
        <f t="shared" si="12"/>
        <v>131.69999999999999</v>
      </c>
      <c r="W34" s="90">
        <f t="shared" si="12"/>
        <v>129.30000000000001</v>
      </c>
      <c r="X34" s="90">
        <f t="shared" si="12"/>
        <v>0</v>
      </c>
      <c r="Y34" s="91">
        <f t="shared" si="12"/>
        <v>0</v>
      </c>
      <c r="Z34" s="65">
        <f t="shared" si="13"/>
        <v>-1.8223234624145657E-2</v>
      </c>
      <c r="AA34" s="66" t="str">
        <f t="shared" si="13"/>
        <v/>
      </c>
      <c r="AB34" s="67" t="str">
        <f t="shared" si="13"/>
        <v/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98">
        <f>+F33+F34</f>
        <v>255.79999999999998</v>
      </c>
      <c r="G35" s="99">
        <f>+G33+G34</f>
        <v>254.20000000000002</v>
      </c>
      <c r="H35" s="99">
        <f>+H33+H34</f>
        <v>120.7</v>
      </c>
      <c r="I35" s="100">
        <f>+I33+I34</f>
        <v>0</v>
      </c>
      <c r="J35" s="68">
        <f t="shared" si="10"/>
        <v>-6.2548866301797013E-3</v>
      </c>
      <c r="K35" s="69">
        <f t="shared" si="10"/>
        <v>-0.525177025963808</v>
      </c>
      <c r="L35" s="70" t="str">
        <f t="shared" si="10"/>
        <v/>
      </c>
      <c r="M35" s="7"/>
      <c r="N35" s="98">
        <f>+N33+N34</f>
        <v>0</v>
      </c>
      <c r="O35" s="99">
        <f>+O33+O34</f>
        <v>0</v>
      </c>
      <c r="P35" s="99">
        <f>+P33+P34</f>
        <v>0</v>
      </c>
      <c r="Q35" s="100">
        <f>+Q33+Q34</f>
        <v>0</v>
      </c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7"/>
      <c r="V35" s="98">
        <f>+V33+V34</f>
        <v>255.79999999999998</v>
      </c>
      <c r="W35" s="99">
        <f>+W33+W34</f>
        <v>254.20000000000002</v>
      </c>
      <c r="X35" s="99">
        <f>+X33+X34</f>
        <v>120.7</v>
      </c>
      <c r="Y35" s="100">
        <f>+Y33+Y34</f>
        <v>0</v>
      </c>
      <c r="Z35" s="68">
        <f t="shared" si="13"/>
        <v>-6.2548866301797013E-3</v>
      </c>
      <c r="AA35" s="69">
        <f t="shared" si="13"/>
        <v>-0.525177025963808</v>
      </c>
      <c r="AB35" s="70" t="str">
        <f t="shared" si="13"/>
        <v/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83">
        <v>25.9</v>
      </c>
      <c r="G36" s="84">
        <v>25.6</v>
      </c>
      <c r="H36" s="84">
        <v>25</v>
      </c>
      <c r="I36" s="85"/>
      <c r="J36" s="68">
        <f t="shared" si="10"/>
        <v>-1.1583011583011449E-2</v>
      </c>
      <c r="K36" s="69">
        <f t="shared" si="10"/>
        <v>-2.34375E-2</v>
      </c>
      <c r="L36" s="70" t="str">
        <f t="shared" si="10"/>
        <v/>
      </c>
      <c r="N36" s="83"/>
      <c r="O36" s="84"/>
      <c r="P36" s="84"/>
      <c r="Q36" s="85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95">
        <f>+F36+N36</f>
        <v>25.9</v>
      </c>
      <c r="W36" s="96">
        <f>+G36+O36</f>
        <v>25.6</v>
      </c>
      <c r="X36" s="96">
        <f>+H36+P36</f>
        <v>25</v>
      </c>
      <c r="Y36" s="97">
        <f>+I36+Q36</f>
        <v>0</v>
      </c>
      <c r="Z36" s="68">
        <f t="shared" si="13"/>
        <v>-1.1583011583011449E-2</v>
      </c>
      <c r="AA36" s="69">
        <f t="shared" si="13"/>
        <v>-2.34375E-2</v>
      </c>
      <c r="AB36" s="70" t="str">
        <f t="shared" si="13"/>
        <v/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101">
        <v>38.56</v>
      </c>
      <c r="G42" s="102">
        <v>44.4</v>
      </c>
      <c r="H42" s="102">
        <v>43.95</v>
      </c>
      <c r="I42" s="103"/>
      <c r="J42" s="62">
        <f t="shared" ref="J42:L44" si="14">IF(OR(G42=0,F42=0),"",G42/F42-1)</f>
        <v>0.15145228215767625</v>
      </c>
      <c r="K42" s="63">
        <f t="shared" si="14"/>
        <v>-1.0135135135135087E-2</v>
      </c>
      <c r="L42" s="64" t="str">
        <f t="shared" si="14"/>
        <v/>
      </c>
      <c r="N42" s="101"/>
      <c r="O42" s="102"/>
      <c r="P42" s="102">
        <v>44.91</v>
      </c>
      <c r="Q42" s="103"/>
      <c r="R42" s="62" t="str">
        <f t="shared" ref="R42:T44" si="15">IF(OR(O42=0,N42=0),"",O42/N42-1)</f>
        <v/>
      </c>
      <c r="S42" s="63" t="str">
        <f t="shared" si="15"/>
        <v/>
      </c>
      <c r="T42" s="64" t="str">
        <f t="shared" si="15"/>
        <v/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104">
        <v>41.26</v>
      </c>
      <c r="G43" s="105">
        <v>44.9</v>
      </c>
      <c r="H43" s="105"/>
      <c r="I43" s="106"/>
      <c r="J43" s="65">
        <f t="shared" si="14"/>
        <v>8.8221037324285101E-2</v>
      </c>
      <c r="K43" s="66" t="str">
        <f t="shared" si="14"/>
        <v/>
      </c>
      <c r="L43" s="67" t="str">
        <f t="shared" si="14"/>
        <v/>
      </c>
      <c r="N43" s="104"/>
      <c r="O43" s="105"/>
      <c r="P43" s="105"/>
      <c r="Q43" s="106"/>
      <c r="R43" s="65" t="str">
        <f t="shared" si="15"/>
        <v/>
      </c>
      <c r="S43" s="66" t="str">
        <f t="shared" si="15"/>
        <v/>
      </c>
      <c r="T43" s="67" t="str">
        <f t="shared" si="15"/>
        <v/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39.909999999999997</v>
      </c>
      <c r="G44" s="108">
        <f>(G42+G43)/2</f>
        <v>44.65</v>
      </c>
      <c r="H44" s="108">
        <f>(H42+H43)/2</f>
        <v>21.975000000000001</v>
      </c>
      <c r="I44" s="109">
        <f>(I42+I43)/2</f>
        <v>0</v>
      </c>
      <c r="J44" s="68">
        <f t="shared" si="14"/>
        <v>0.11876722625908309</v>
      </c>
      <c r="K44" s="69">
        <f t="shared" si="14"/>
        <v>-0.5078387458006719</v>
      </c>
      <c r="L44" s="70" t="str">
        <f t="shared" si="14"/>
        <v/>
      </c>
      <c r="M44" s="7"/>
      <c r="N44" s="107">
        <f>(N42+N43)/2</f>
        <v>0</v>
      </c>
      <c r="O44" s="108">
        <f>(O42+O43)/2</f>
        <v>0</v>
      </c>
      <c r="P44" s="108">
        <f>(P42+P43)/2</f>
        <v>22.454999999999998</v>
      </c>
      <c r="Q44" s="109">
        <f>(Q42+Q43)/2</f>
        <v>0</v>
      </c>
      <c r="R44" s="68" t="str">
        <f t="shared" si="15"/>
        <v/>
      </c>
      <c r="S44" s="69" t="str">
        <f t="shared" si="15"/>
        <v/>
      </c>
      <c r="T44" s="70" t="str">
        <f t="shared" si="15"/>
        <v/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1"/>
      <c r="G48" s="102"/>
      <c r="H48" s="102"/>
      <c r="I48" s="103"/>
      <c r="J48" s="62" t="str">
        <f t="shared" ref="J48:L50" si="16">IF(OR(G48=0,F48=0),"",G48/F48-1)</f>
        <v/>
      </c>
      <c r="K48" s="63" t="str">
        <f t="shared" si="16"/>
        <v/>
      </c>
      <c r="L48" s="64" t="str">
        <f t="shared" si="16"/>
        <v/>
      </c>
      <c r="N48" s="101"/>
      <c r="O48" s="102"/>
      <c r="P48" s="102"/>
      <c r="Q48" s="103"/>
      <c r="R48" s="62" t="str">
        <f t="shared" ref="R48:T50" si="17">IF(OR(O48=0,N48=0),"",O48/N48-1)</f>
        <v/>
      </c>
      <c r="S48" s="63" t="str">
        <f t="shared" si="17"/>
        <v/>
      </c>
      <c r="T48" s="64" t="str">
        <f t="shared" si="17"/>
        <v/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4"/>
      <c r="G49" s="105"/>
      <c r="H49" s="105"/>
      <c r="I49" s="106"/>
      <c r="J49" s="65" t="str">
        <f t="shared" si="16"/>
        <v/>
      </c>
      <c r="K49" s="66" t="str">
        <f t="shared" si="16"/>
        <v/>
      </c>
      <c r="L49" s="67" t="str">
        <f t="shared" si="16"/>
        <v/>
      </c>
      <c r="N49" s="104"/>
      <c r="O49" s="105"/>
      <c r="P49" s="105"/>
      <c r="Q49" s="106"/>
      <c r="R49" s="65" t="str">
        <f t="shared" si="17"/>
        <v/>
      </c>
      <c r="S49" s="66" t="str">
        <f t="shared" si="17"/>
        <v/>
      </c>
      <c r="T49" s="67" t="str">
        <f t="shared" si="17"/>
        <v/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f>(F48+F49)/2</f>
        <v>0</v>
      </c>
      <c r="G50" s="108">
        <f>(G48+G49)/2</f>
        <v>0</v>
      </c>
      <c r="H50" s="108">
        <f>(H48+H49)/2</f>
        <v>0</v>
      </c>
      <c r="I50" s="109">
        <f>(I48+I49)/2</f>
        <v>0</v>
      </c>
      <c r="J50" s="68" t="str">
        <f t="shared" si="16"/>
        <v/>
      </c>
      <c r="K50" s="69" t="str">
        <f t="shared" si="16"/>
        <v/>
      </c>
      <c r="L50" s="70" t="str">
        <f t="shared" si="16"/>
        <v/>
      </c>
      <c r="M50" s="7"/>
      <c r="N50" s="107">
        <f>(N48+N49)/2</f>
        <v>0</v>
      </c>
      <c r="O50" s="108">
        <f>(O48+O49)/2</f>
        <v>0</v>
      </c>
      <c r="P50" s="108">
        <f>(P48+P49)/2</f>
        <v>0</v>
      </c>
      <c r="Q50" s="109">
        <f>(Q48+Q49)/2</f>
        <v>0</v>
      </c>
      <c r="R50" s="68" t="str">
        <f t="shared" si="17"/>
        <v/>
      </c>
      <c r="S50" s="69" t="str">
        <f t="shared" si="17"/>
        <v/>
      </c>
      <c r="T50" s="70" t="str">
        <f t="shared" si="17"/>
        <v/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F44:T44 F17:AB17 F26:I26 V33:AB33 V36:Y36 F35:AB35 V34:Y34 V30:Y30 V24:Y25 V29:AB29 V27:Y28 V18:Y21 V15:Y16 U26:Y26 M26:Q26">
    <cfRule type="cellIs" dxfId="5" priority="3" stopIfTrue="1" operator="equal">
      <formula>0</formula>
    </cfRule>
  </conditionalFormatting>
  <conditionalFormatting sqref="N50:T50">
    <cfRule type="cellIs" dxfId="4" priority="2" stopIfTrue="1" operator="equal">
      <formula>0</formula>
    </cfRule>
  </conditionalFormatting>
  <conditionalFormatting sqref="F12:I12">
    <cfRule type="cellIs" dxfId="3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AM58"/>
  <sheetViews>
    <sheetView showGridLines="0" topLeftCell="B1" zoomScale="60" zoomScaleNormal="60" workbookViewId="0">
      <selection activeCell="E18" sqref="E18"/>
    </sheetView>
  </sheetViews>
  <sheetFormatPr defaultColWidth="9" defaultRowHeight="15.75" x14ac:dyDescent="0.25"/>
  <cols>
    <col min="1" max="1" width="2.625" style="183" customWidth="1"/>
    <col min="2" max="2" width="18.875" style="183" customWidth="1"/>
    <col min="3" max="3" width="26.625" style="183" customWidth="1"/>
    <col min="4" max="4" width="14.375" style="183" customWidth="1"/>
    <col min="5" max="5" width="3.125" style="183" customWidth="1"/>
    <col min="6" max="9" width="12.375" style="183" customWidth="1"/>
    <col min="10" max="12" width="7" style="183" customWidth="1"/>
    <col min="13" max="13" width="3.125" style="183" customWidth="1"/>
    <col min="14" max="17" width="12.375" style="183" customWidth="1"/>
    <col min="18" max="20" width="7" style="183" customWidth="1"/>
    <col min="21" max="21" width="3" style="183" customWidth="1"/>
    <col min="22" max="25" width="12.375" style="183" customWidth="1"/>
    <col min="26" max="28" width="7" style="183" customWidth="1"/>
    <col min="29" max="256" width="9" style="183"/>
    <col min="257" max="257" width="2.625" style="183" customWidth="1"/>
    <col min="258" max="258" width="18.875" style="183" customWidth="1"/>
    <col min="259" max="259" width="26.625" style="183" customWidth="1"/>
    <col min="260" max="260" width="14.375" style="183" customWidth="1"/>
    <col min="261" max="261" width="3.125" style="183" customWidth="1"/>
    <col min="262" max="265" width="12.375" style="183" customWidth="1"/>
    <col min="266" max="268" width="7" style="183" customWidth="1"/>
    <col min="269" max="269" width="3.125" style="183" customWidth="1"/>
    <col min="270" max="273" width="12.375" style="183" customWidth="1"/>
    <col min="274" max="276" width="7" style="183" customWidth="1"/>
    <col min="277" max="277" width="3" style="183" customWidth="1"/>
    <col min="278" max="281" width="12.375" style="183" customWidth="1"/>
    <col min="282" max="284" width="7" style="183" customWidth="1"/>
    <col min="285" max="512" width="9" style="183"/>
    <col min="513" max="513" width="2.625" style="183" customWidth="1"/>
    <col min="514" max="514" width="18.875" style="183" customWidth="1"/>
    <col min="515" max="515" width="26.625" style="183" customWidth="1"/>
    <col min="516" max="516" width="14.375" style="183" customWidth="1"/>
    <col min="517" max="517" width="3.125" style="183" customWidth="1"/>
    <col min="518" max="521" width="12.375" style="183" customWidth="1"/>
    <col min="522" max="524" width="7" style="183" customWidth="1"/>
    <col min="525" max="525" width="3.125" style="183" customWidth="1"/>
    <col min="526" max="529" width="12.375" style="183" customWidth="1"/>
    <col min="530" max="532" width="7" style="183" customWidth="1"/>
    <col min="533" max="533" width="3" style="183" customWidth="1"/>
    <col min="534" max="537" width="12.375" style="183" customWidth="1"/>
    <col min="538" max="540" width="7" style="183" customWidth="1"/>
    <col min="541" max="768" width="9" style="183"/>
    <col min="769" max="769" width="2.625" style="183" customWidth="1"/>
    <col min="770" max="770" width="18.875" style="183" customWidth="1"/>
    <col min="771" max="771" width="26.625" style="183" customWidth="1"/>
    <col min="772" max="772" width="14.375" style="183" customWidth="1"/>
    <col min="773" max="773" width="3.125" style="183" customWidth="1"/>
    <col min="774" max="777" width="12.375" style="183" customWidth="1"/>
    <col min="778" max="780" width="7" style="183" customWidth="1"/>
    <col min="781" max="781" width="3.125" style="183" customWidth="1"/>
    <col min="782" max="785" width="12.375" style="183" customWidth="1"/>
    <col min="786" max="788" width="7" style="183" customWidth="1"/>
    <col min="789" max="789" width="3" style="183" customWidth="1"/>
    <col min="790" max="793" width="12.375" style="183" customWidth="1"/>
    <col min="794" max="796" width="7" style="183" customWidth="1"/>
    <col min="797" max="1024" width="9" style="183"/>
    <col min="1025" max="1025" width="2.625" style="183" customWidth="1"/>
    <col min="1026" max="1026" width="18.875" style="183" customWidth="1"/>
    <col min="1027" max="1027" width="26.625" style="183" customWidth="1"/>
    <col min="1028" max="1028" width="14.375" style="183" customWidth="1"/>
    <col min="1029" max="1029" width="3.125" style="183" customWidth="1"/>
    <col min="1030" max="1033" width="12.375" style="183" customWidth="1"/>
    <col min="1034" max="1036" width="7" style="183" customWidth="1"/>
    <col min="1037" max="1037" width="3.125" style="183" customWidth="1"/>
    <col min="1038" max="1041" width="12.375" style="183" customWidth="1"/>
    <col min="1042" max="1044" width="7" style="183" customWidth="1"/>
    <col min="1045" max="1045" width="3" style="183" customWidth="1"/>
    <col min="1046" max="1049" width="12.375" style="183" customWidth="1"/>
    <col min="1050" max="1052" width="7" style="183" customWidth="1"/>
    <col min="1053" max="1280" width="9" style="183"/>
    <col min="1281" max="1281" width="2.625" style="183" customWidth="1"/>
    <col min="1282" max="1282" width="18.875" style="183" customWidth="1"/>
    <col min="1283" max="1283" width="26.625" style="183" customWidth="1"/>
    <col min="1284" max="1284" width="14.375" style="183" customWidth="1"/>
    <col min="1285" max="1285" width="3.125" style="183" customWidth="1"/>
    <col min="1286" max="1289" width="12.375" style="183" customWidth="1"/>
    <col min="1290" max="1292" width="7" style="183" customWidth="1"/>
    <col min="1293" max="1293" width="3.125" style="183" customWidth="1"/>
    <col min="1294" max="1297" width="12.375" style="183" customWidth="1"/>
    <col min="1298" max="1300" width="7" style="183" customWidth="1"/>
    <col min="1301" max="1301" width="3" style="183" customWidth="1"/>
    <col min="1302" max="1305" width="12.375" style="183" customWidth="1"/>
    <col min="1306" max="1308" width="7" style="183" customWidth="1"/>
    <col min="1309" max="1536" width="9" style="183"/>
    <col min="1537" max="1537" width="2.625" style="183" customWidth="1"/>
    <col min="1538" max="1538" width="18.875" style="183" customWidth="1"/>
    <col min="1539" max="1539" width="26.625" style="183" customWidth="1"/>
    <col min="1540" max="1540" width="14.375" style="183" customWidth="1"/>
    <col min="1541" max="1541" width="3.125" style="183" customWidth="1"/>
    <col min="1542" max="1545" width="12.375" style="183" customWidth="1"/>
    <col min="1546" max="1548" width="7" style="183" customWidth="1"/>
    <col min="1549" max="1549" width="3.125" style="183" customWidth="1"/>
    <col min="1550" max="1553" width="12.375" style="183" customWidth="1"/>
    <col min="1554" max="1556" width="7" style="183" customWidth="1"/>
    <col min="1557" max="1557" width="3" style="183" customWidth="1"/>
    <col min="1558" max="1561" width="12.375" style="183" customWidth="1"/>
    <col min="1562" max="1564" width="7" style="183" customWidth="1"/>
    <col min="1565" max="1792" width="9" style="183"/>
    <col min="1793" max="1793" width="2.625" style="183" customWidth="1"/>
    <col min="1794" max="1794" width="18.875" style="183" customWidth="1"/>
    <col min="1795" max="1795" width="26.625" style="183" customWidth="1"/>
    <col min="1796" max="1796" width="14.375" style="183" customWidth="1"/>
    <col min="1797" max="1797" width="3.125" style="183" customWidth="1"/>
    <col min="1798" max="1801" width="12.375" style="183" customWidth="1"/>
    <col min="1802" max="1804" width="7" style="183" customWidth="1"/>
    <col min="1805" max="1805" width="3.125" style="183" customWidth="1"/>
    <col min="1806" max="1809" width="12.375" style="183" customWidth="1"/>
    <col min="1810" max="1812" width="7" style="183" customWidth="1"/>
    <col min="1813" max="1813" width="3" style="183" customWidth="1"/>
    <col min="1814" max="1817" width="12.375" style="183" customWidth="1"/>
    <col min="1818" max="1820" width="7" style="183" customWidth="1"/>
    <col min="1821" max="2048" width="9" style="183"/>
    <col min="2049" max="2049" width="2.625" style="183" customWidth="1"/>
    <col min="2050" max="2050" width="18.875" style="183" customWidth="1"/>
    <col min="2051" max="2051" width="26.625" style="183" customWidth="1"/>
    <col min="2052" max="2052" width="14.375" style="183" customWidth="1"/>
    <col min="2053" max="2053" width="3.125" style="183" customWidth="1"/>
    <col min="2054" max="2057" width="12.375" style="183" customWidth="1"/>
    <col min="2058" max="2060" width="7" style="183" customWidth="1"/>
    <col min="2061" max="2061" width="3.125" style="183" customWidth="1"/>
    <col min="2062" max="2065" width="12.375" style="183" customWidth="1"/>
    <col min="2066" max="2068" width="7" style="183" customWidth="1"/>
    <col min="2069" max="2069" width="3" style="183" customWidth="1"/>
    <col min="2070" max="2073" width="12.375" style="183" customWidth="1"/>
    <col min="2074" max="2076" width="7" style="183" customWidth="1"/>
    <col min="2077" max="2304" width="9" style="183"/>
    <col min="2305" max="2305" width="2.625" style="183" customWidth="1"/>
    <col min="2306" max="2306" width="18.875" style="183" customWidth="1"/>
    <col min="2307" max="2307" width="26.625" style="183" customWidth="1"/>
    <col min="2308" max="2308" width="14.375" style="183" customWidth="1"/>
    <col min="2309" max="2309" width="3.125" style="183" customWidth="1"/>
    <col min="2310" max="2313" width="12.375" style="183" customWidth="1"/>
    <col min="2314" max="2316" width="7" style="183" customWidth="1"/>
    <col min="2317" max="2317" width="3.125" style="183" customWidth="1"/>
    <col min="2318" max="2321" width="12.375" style="183" customWidth="1"/>
    <col min="2322" max="2324" width="7" style="183" customWidth="1"/>
    <col min="2325" max="2325" width="3" style="183" customWidth="1"/>
    <col min="2326" max="2329" width="12.375" style="183" customWidth="1"/>
    <col min="2330" max="2332" width="7" style="183" customWidth="1"/>
    <col min="2333" max="2560" width="9" style="183"/>
    <col min="2561" max="2561" width="2.625" style="183" customWidth="1"/>
    <col min="2562" max="2562" width="18.875" style="183" customWidth="1"/>
    <col min="2563" max="2563" width="26.625" style="183" customWidth="1"/>
    <col min="2564" max="2564" width="14.375" style="183" customWidth="1"/>
    <col min="2565" max="2565" width="3.125" style="183" customWidth="1"/>
    <col min="2566" max="2569" width="12.375" style="183" customWidth="1"/>
    <col min="2570" max="2572" width="7" style="183" customWidth="1"/>
    <col min="2573" max="2573" width="3.125" style="183" customWidth="1"/>
    <col min="2574" max="2577" width="12.375" style="183" customWidth="1"/>
    <col min="2578" max="2580" width="7" style="183" customWidth="1"/>
    <col min="2581" max="2581" width="3" style="183" customWidth="1"/>
    <col min="2582" max="2585" width="12.375" style="183" customWidth="1"/>
    <col min="2586" max="2588" width="7" style="183" customWidth="1"/>
    <col min="2589" max="2816" width="9" style="183"/>
    <col min="2817" max="2817" width="2.625" style="183" customWidth="1"/>
    <col min="2818" max="2818" width="18.875" style="183" customWidth="1"/>
    <col min="2819" max="2819" width="26.625" style="183" customWidth="1"/>
    <col min="2820" max="2820" width="14.375" style="183" customWidth="1"/>
    <col min="2821" max="2821" width="3.125" style="183" customWidth="1"/>
    <col min="2822" max="2825" width="12.375" style="183" customWidth="1"/>
    <col min="2826" max="2828" width="7" style="183" customWidth="1"/>
    <col min="2829" max="2829" width="3.125" style="183" customWidth="1"/>
    <col min="2830" max="2833" width="12.375" style="183" customWidth="1"/>
    <col min="2834" max="2836" width="7" style="183" customWidth="1"/>
    <col min="2837" max="2837" width="3" style="183" customWidth="1"/>
    <col min="2838" max="2841" width="12.375" style="183" customWidth="1"/>
    <col min="2842" max="2844" width="7" style="183" customWidth="1"/>
    <col min="2845" max="3072" width="9" style="183"/>
    <col min="3073" max="3073" width="2.625" style="183" customWidth="1"/>
    <col min="3074" max="3074" width="18.875" style="183" customWidth="1"/>
    <col min="3075" max="3075" width="26.625" style="183" customWidth="1"/>
    <col min="3076" max="3076" width="14.375" style="183" customWidth="1"/>
    <col min="3077" max="3077" width="3.125" style="183" customWidth="1"/>
    <col min="3078" max="3081" width="12.375" style="183" customWidth="1"/>
    <col min="3082" max="3084" width="7" style="183" customWidth="1"/>
    <col min="3085" max="3085" width="3.125" style="183" customWidth="1"/>
    <col min="3086" max="3089" width="12.375" style="183" customWidth="1"/>
    <col min="3090" max="3092" width="7" style="183" customWidth="1"/>
    <col min="3093" max="3093" width="3" style="183" customWidth="1"/>
    <col min="3094" max="3097" width="12.375" style="183" customWidth="1"/>
    <col min="3098" max="3100" width="7" style="183" customWidth="1"/>
    <col min="3101" max="3328" width="9" style="183"/>
    <col min="3329" max="3329" width="2.625" style="183" customWidth="1"/>
    <col min="3330" max="3330" width="18.875" style="183" customWidth="1"/>
    <col min="3331" max="3331" width="26.625" style="183" customWidth="1"/>
    <col min="3332" max="3332" width="14.375" style="183" customWidth="1"/>
    <col min="3333" max="3333" width="3.125" style="183" customWidth="1"/>
    <col min="3334" max="3337" width="12.375" style="183" customWidth="1"/>
    <col min="3338" max="3340" width="7" style="183" customWidth="1"/>
    <col min="3341" max="3341" width="3.125" style="183" customWidth="1"/>
    <col min="3342" max="3345" width="12.375" style="183" customWidth="1"/>
    <col min="3346" max="3348" width="7" style="183" customWidth="1"/>
    <col min="3349" max="3349" width="3" style="183" customWidth="1"/>
    <col min="3350" max="3353" width="12.375" style="183" customWidth="1"/>
    <col min="3354" max="3356" width="7" style="183" customWidth="1"/>
    <col min="3357" max="3584" width="9" style="183"/>
    <col min="3585" max="3585" width="2.625" style="183" customWidth="1"/>
    <col min="3586" max="3586" width="18.875" style="183" customWidth="1"/>
    <col min="3587" max="3587" width="26.625" style="183" customWidth="1"/>
    <col min="3588" max="3588" width="14.375" style="183" customWidth="1"/>
    <col min="3589" max="3589" width="3.125" style="183" customWidth="1"/>
    <col min="3590" max="3593" width="12.375" style="183" customWidth="1"/>
    <col min="3594" max="3596" width="7" style="183" customWidth="1"/>
    <col min="3597" max="3597" width="3.125" style="183" customWidth="1"/>
    <col min="3598" max="3601" width="12.375" style="183" customWidth="1"/>
    <col min="3602" max="3604" width="7" style="183" customWidth="1"/>
    <col min="3605" max="3605" width="3" style="183" customWidth="1"/>
    <col min="3606" max="3609" width="12.375" style="183" customWidth="1"/>
    <col min="3610" max="3612" width="7" style="183" customWidth="1"/>
    <col min="3613" max="3840" width="9" style="183"/>
    <col min="3841" max="3841" width="2.625" style="183" customWidth="1"/>
    <col min="3842" max="3842" width="18.875" style="183" customWidth="1"/>
    <col min="3843" max="3843" width="26.625" style="183" customWidth="1"/>
    <col min="3844" max="3844" width="14.375" style="183" customWidth="1"/>
    <col min="3845" max="3845" width="3.125" style="183" customWidth="1"/>
    <col min="3846" max="3849" width="12.375" style="183" customWidth="1"/>
    <col min="3850" max="3852" width="7" style="183" customWidth="1"/>
    <col min="3853" max="3853" width="3.125" style="183" customWidth="1"/>
    <col min="3854" max="3857" width="12.375" style="183" customWidth="1"/>
    <col min="3858" max="3860" width="7" style="183" customWidth="1"/>
    <col min="3861" max="3861" width="3" style="183" customWidth="1"/>
    <col min="3862" max="3865" width="12.375" style="183" customWidth="1"/>
    <col min="3866" max="3868" width="7" style="183" customWidth="1"/>
    <col min="3869" max="4096" width="9" style="183"/>
    <col min="4097" max="4097" width="2.625" style="183" customWidth="1"/>
    <col min="4098" max="4098" width="18.875" style="183" customWidth="1"/>
    <col min="4099" max="4099" width="26.625" style="183" customWidth="1"/>
    <col min="4100" max="4100" width="14.375" style="183" customWidth="1"/>
    <col min="4101" max="4101" width="3.125" style="183" customWidth="1"/>
    <col min="4102" max="4105" width="12.375" style="183" customWidth="1"/>
    <col min="4106" max="4108" width="7" style="183" customWidth="1"/>
    <col min="4109" max="4109" width="3.125" style="183" customWidth="1"/>
    <col min="4110" max="4113" width="12.375" style="183" customWidth="1"/>
    <col min="4114" max="4116" width="7" style="183" customWidth="1"/>
    <col min="4117" max="4117" width="3" style="183" customWidth="1"/>
    <col min="4118" max="4121" width="12.375" style="183" customWidth="1"/>
    <col min="4122" max="4124" width="7" style="183" customWidth="1"/>
    <col min="4125" max="4352" width="9" style="183"/>
    <col min="4353" max="4353" width="2.625" style="183" customWidth="1"/>
    <col min="4354" max="4354" width="18.875" style="183" customWidth="1"/>
    <col min="4355" max="4355" width="26.625" style="183" customWidth="1"/>
    <col min="4356" max="4356" width="14.375" style="183" customWidth="1"/>
    <col min="4357" max="4357" width="3.125" style="183" customWidth="1"/>
    <col min="4358" max="4361" width="12.375" style="183" customWidth="1"/>
    <col min="4362" max="4364" width="7" style="183" customWidth="1"/>
    <col min="4365" max="4365" width="3.125" style="183" customWidth="1"/>
    <col min="4366" max="4369" width="12.375" style="183" customWidth="1"/>
    <col min="4370" max="4372" width="7" style="183" customWidth="1"/>
    <col min="4373" max="4373" width="3" style="183" customWidth="1"/>
    <col min="4374" max="4377" width="12.375" style="183" customWidth="1"/>
    <col min="4378" max="4380" width="7" style="183" customWidth="1"/>
    <col min="4381" max="4608" width="9" style="183"/>
    <col min="4609" max="4609" width="2.625" style="183" customWidth="1"/>
    <col min="4610" max="4610" width="18.875" style="183" customWidth="1"/>
    <col min="4611" max="4611" width="26.625" style="183" customWidth="1"/>
    <col min="4612" max="4612" width="14.375" style="183" customWidth="1"/>
    <col min="4613" max="4613" width="3.125" style="183" customWidth="1"/>
    <col min="4614" max="4617" width="12.375" style="183" customWidth="1"/>
    <col min="4618" max="4620" width="7" style="183" customWidth="1"/>
    <col min="4621" max="4621" width="3.125" style="183" customWidth="1"/>
    <col min="4622" max="4625" width="12.375" style="183" customWidth="1"/>
    <col min="4626" max="4628" width="7" style="183" customWidth="1"/>
    <col min="4629" max="4629" width="3" style="183" customWidth="1"/>
    <col min="4630" max="4633" width="12.375" style="183" customWidth="1"/>
    <col min="4634" max="4636" width="7" style="183" customWidth="1"/>
    <col min="4637" max="4864" width="9" style="183"/>
    <col min="4865" max="4865" width="2.625" style="183" customWidth="1"/>
    <col min="4866" max="4866" width="18.875" style="183" customWidth="1"/>
    <col min="4867" max="4867" width="26.625" style="183" customWidth="1"/>
    <col min="4868" max="4868" width="14.375" style="183" customWidth="1"/>
    <col min="4869" max="4869" width="3.125" style="183" customWidth="1"/>
    <col min="4870" max="4873" width="12.375" style="183" customWidth="1"/>
    <col min="4874" max="4876" width="7" style="183" customWidth="1"/>
    <col min="4877" max="4877" width="3.125" style="183" customWidth="1"/>
    <col min="4878" max="4881" width="12.375" style="183" customWidth="1"/>
    <col min="4882" max="4884" width="7" style="183" customWidth="1"/>
    <col min="4885" max="4885" width="3" style="183" customWidth="1"/>
    <col min="4886" max="4889" width="12.375" style="183" customWidth="1"/>
    <col min="4890" max="4892" width="7" style="183" customWidth="1"/>
    <col min="4893" max="5120" width="9" style="183"/>
    <col min="5121" max="5121" width="2.625" style="183" customWidth="1"/>
    <col min="5122" max="5122" width="18.875" style="183" customWidth="1"/>
    <col min="5123" max="5123" width="26.625" style="183" customWidth="1"/>
    <col min="5124" max="5124" width="14.375" style="183" customWidth="1"/>
    <col min="5125" max="5125" width="3.125" style="183" customWidth="1"/>
    <col min="5126" max="5129" width="12.375" style="183" customWidth="1"/>
    <col min="5130" max="5132" width="7" style="183" customWidth="1"/>
    <col min="5133" max="5133" width="3.125" style="183" customWidth="1"/>
    <col min="5134" max="5137" width="12.375" style="183" customWidth="1"/>
    <col min="5138" max="5140" width="7" style="183" customWidth="1"/>
    <col min="5141" max="5141" width="3" style="183" customWidth="1"/>
    <col min="5142" max="5145" width="12.375" style="183" customWidth="1"/>
    <col min="5146" max="5148" width="7" style="183" customWidth="1"/>
    <col min="5149" max="5376" width="9" style="183"/>
    <col min="5377" max="5377" width="2.625" style="183" customWidth="1"/>
    <col min="5378" max="5378" width="18.875" style="183" customWidth="1"/>
    <col min="5379" max="5379" width="26.625" style="183" customWidth="1"/>
    <col min="5380" max="5380" width="14.375" style="183" customWidth="1"/>
    <col min="5381" max="5381" width="3.125" style="183" customWidth="1"/>
    <col min="5382" max="5385" width="12.375" style="183" customWidth="1"/>
    <col min="5386" max="5388" width="7" style="183" customWidth="1"/>
    <col min="5389" max="5389" width="3.125" style="183" customWidth="1"/>
    <col min="5390" max="5393" width="12.375" style="183" customWidth="1"/>
    <col min="5394" max="5396" width="7" style="183" customWidth="1"/>
    <col min="5397" max="5397" width="3" style="183" customWidth="1"/>
    <col min="5398" max="5401" width="12.375" style="183" customWidth="1"/>
    <col min="5402" max="5404" width="7" style="183" customWidth="1"/>
    <col min="5405" max="5632" width="9" style="183"/>
    <col min="5633" max="5633" width="2.625" style="183" customWidth="1"/>
    <col min="5634" max="5634" width="18.875" style="183" customWidth="1"/>
    <col min="5635" max="5635" width="26.625" style="183" customWidth="1"/>
    <col min="5636" max="5636" width="14.375" style="183" customWidth="1"/>
    <col min="5637" max="5637" width="3.125" style="183" customWidth="1"/>
    <col min="5638" max="5641" width="12.375" style="183" customWidth="1"/>
    <col min="5642" max="5644" width="7" style="183" customWidth="1"/>
    <col min="5645" max="5645" width="3.125" style="183" customWidth="1"/>
    <col min="5646" max="5649" width="12.375" style="183" customWidth="1"/>
    <col min="5650" max="5652" width="7" style="183" customWidth="1"/>
    <col min="5653" max="5653" width="3" style="183" customWidth="1"/>
    <col min="5654" max="5657" width="12.375" style="183" customWidth="1"/>
    <col min="5658" max="5660" width="7" style="183" customWidth="1"/>
    <col min="5661" max="5888" width="9" style="183"/>
    <col min="5889" max="5889" width="2.625" style="183" customWidth="1"/>
    <col min="5890" max="5890" width="18.875" style="183" customWidth="1"/>
    <col min="5891" max="5891" width="26.625" style="183" customWidth="1"/>
    <col min="5892" max="5892" width="14.375" style="183" customWidth="1"/>
    <col min="5893" max="5893" width="3.125" style="183" customWidth="1"/>
    <col min="5894" max="5897" width="12.375" style="183" customWidth="1"/>
    <col min="5898" max="5900" width="7" style="183" customWidth="1"/>
    <col min="5901" max="5901" width="3.125" style="183" customWidth="1"/>
    <col min="5902" max="5905" width="12.375" style="183" customWidth="1"/>
    <col min="5906" max="5908" width="7" style="183" customWidth="1"/>
    <col min="5909" max="5909" width="3" style="183" customWidth="1"/>
    <col min="5910" max="5913" width="12.375" style="183" customWidth="1"/>
    <col min="5914" max="5916" width="7" style="183" customWidth="1"/>
    <col min="5917" max="6144" width="9" style="183"/>
    <col min="6145" max="6145" width="2.625" style="183" customWidth="1"/>
    <col min="6146" max="6146" width="18.875" style="183" customWidth="1"/>
    <col min="6147" max="6147" width="26.625" style="183" customWidth="1"/>
    <col min="6148" max="6148" width="14.375" style="183" customWidth="1"/>
    <col min="6149" max="6149" width="3.125" style="183" customWidth="1"/>
    <col min="6150" max="6153" width="12.375" style="183" customWidth="1"/>
    <col min="6154" max="6156" width="7" style="183" customWidth="1"/>
    <col min="6157" max="6157" width="3.125" style="183" customWidth="1"/>
    <col min="6158" max="6161" width="12.375" style="183" customWidth="1"/>
    <col min="6162" max="6164" width="7" style="183" customWidth="1"/>
    <col min="6165" max="6165" width="3" style="183" customWidth="1"/>
    <col min="6166" max="6169" width="12.375" style="183" customWidth="1"/>
    <col min="6170" max="6172" width="7" style="183" customWidth="1"/>
    <col min="6173" max="6400" width="9" style="183"/>
    <col min="6401" max="6401" width="2.625" style="183" customWidth="1"/>
    <col min="6402" max="6402" width="18.875" style="183" customWidth="1"/>
    <col min="6403" max="6403" width="26.625" style="183" customWidth="1"/>
    <col min="6404" max="6404" width="14.375" style="183" customWidth="1"/>
    <col min="6405" max="6405" width="3.125" style="183" customWidth="1"/>
    <col min="6406" max="6409" width="12.375" style="183" customWidth="1"/>
    <col min="6410" max="6412" width="7" style="183" customWidth="1"/>
    <col min="6413" max="6413" width="3.125" style="183" customWidth="1"/>
    <col min="6414" max="6417" width="12.375" style="183" customWidth="1"/>
    <col min="6418" max="6420" width="7" style="183" customWidth="1"/>
    <col min="6421" max="6421" width="3" style="183" customWidth="1"/>
    <col min="6422" max="6425" width="12.375" style="183" customWidth="1"/>
    <col min="6426" max="6428" width="7" style="183" customWidth="1"/>
    <col min="6429" max="6656" width="9" style="183"/>
    <col min="6657" max="6657" width="2.625" style="183" customWidth="1"/>
    <col min="6658" max="6658" width="18.875" style="183" customWidth="1"/>
    <col min="6659" max="6659" width="26.625" style="183" customWidth="1"/>
    <col min="6660" max="6660" width="14.375" style="183" customWidth="1"/>
    <col min="6661" max="6661" width="3.125" style="183" customWidth="1"/>
    <col min="6662" max="6665" width="12.375" style="183" customWidth="1"/>
    <col min="6666" max="6668" width="7" style="183" customWidth="1"/>
    <col min="6669" max="6669" width="3.125" style="183" customWidth="1"/>
    <col min="6670" max="6673" width="12.375" style="183" customWidth="1"/>
    <col min="6674" max="6676" width="7" style="183" customWidth="1"/>
    <col min="6677" max="6677" width="3" style="183" customWidth="1"/>
    <col min="6678" max="6681" width="12.375" style="183" customWidth="1"/>
    <col min="6682" max="6684" width="7" style="183" customWidth="1"/>
    <col min="6685" max="6912" width="9" style="183"/>
    <col min="6913" max="6913" width="2.625" style="183" customWidth="1"/>
    <col min="6914" max="6914" width="18.875" style="183" customWidth="1"/>
    <col min="6915" max="6915" width="26.625" style="183" customWidth="1"/>
    <col min="6916" max="6916" width="14.375" style="183" customWidth="1"/>
    <col min="6917" max="6917" width="3.125" style="183" customWidth="1"/>
    <col min="6918" max="6921" width="12.375" style="183" customWidth="1"/>
    <col min="6922" max="6924" width="7" style="183" customWidth="1"/>
    <col min="6925" max="6925" width="3.125" style="183" customWidth="1"/>
    <col min="6926" max="6929" width="12.375" style="183" customWidth="1"/>
    <col min="6930" max="6932" width="7" style="183" customWidth="1"/>
    <col min="6933" max="6933" width="3" style="183" customWidth="1"/>
    <col min="6934" max="6937" width="12.375" style="183" customWidth="1"/>
    <col min="6938" max="6940" width="7" style="183" customWidth="1"/>
    <col min="6941" max="7168" width="9" style="183"/>
    <col min="7169" max="7169" width="2.625" style="183" customWidth="1"/>
    <col min="7170" max="7170" width="18.875" style="183" customWidth="1"/>
    <col min="7171" max="7171" width="26.625" style="183" customWidth="1"/>
    <col min="7172" max="7172" width="14.375" style="183" customWidth="1"/>
    <col min="7173" max="7173" width="3.125" style="183" customWidth="1"/>
    <col min="7174" max="7177" width="12.375" style="183" customWidth="1"/>
    <col min="7178" max="7180" width="7" style="183" customWidth="1"/>
    <col min="7181" max="7181" width="3.125" style="183" customWidth="1"/>
    <col min="7182" max="7185" width="12.375" style="183" customWidth="1"/>
    <col min="7186" max="7188" width="7" style="183" customWidth="1"/>
    <col min="7189" max="7189" width="3" style="183" customWidth="1"/>
    <col min="7190" max="7193" width="12.375" style="183" customWidth="1"/>
    <col min="7194" max="7196" width="7" style="183" customWidth="1"/>
    <col min="7197" max="7424" width="9" style="183"/>
    <col min="7425" max="7425" width="2.625" style="183" customWidth="1"/>
    <col min="7426" max="7426" width="18.875" style="183" customWidth="1"/>
    <col min="7427" max="7427" width="26.625" style="183" customWidth="1"/>
    <col min="7428" max="7428" width="14.375" style="183" customWidth="1"/>
    <col min="7429" max="7429" width="3.125" style="183" customWidth="1"/>
    <col min="7430" max="7433" width="12.375" style="183" customWidth="1"/>
    <col min="7434" max="7436" width="7" style="183" customWidth="1"/>
    <col min="7437" max="7437" width="3.125" style="183" customWidth="1"/>
    <col min="7438" max="7441" width="12.375" style="183" customWidth="1"/>
    <col min="7442" max="7444" width="7" style="183" customWidth="1"/>
    <col min="7445" max="7445" width="3" style="183" customWidth="1"/>
    <col min="7446" max="7449" width="12.375" style="183" customWidth="1"/>
    <col min="7450" max="7452" width="7" style="183" customWidth="1"/>
    <col min="7453" max="7680" width="9" style="183"/>
    <col min="7681" max="7681" width="2.625" style="183" customWidth="1"/>
    <col min="7682" max="7682" width="18.875" style="183" customWidth="1"/>
    <col min="7683" max="7683" width="26.625" style="183" customWidth="1"/>
    <col min="7684" max="7684" width="14.375" style="183" customWidth="1"/>
    <col min="7685" max="7685" width="3.125" style="183" customWidth="1"/>
    <col min="7686" max="7689" width="12.375" style="183" customWidth="1"/>
    <col min="7690" max="7692" width="7" style="183" customWidth="1"/>
    <col min="7693" max="7693" width="3.125" style="183" customWidth="1"/>
    <col min="7694" max="7697" width="12.375" style="183" customWidth="1"/>
    <col min="7698" max="7700" width="7" style="183" customWidth="1"/>
    <col min="7701" max="7701" width="3" style="183" customWidth="1"/>
    <col min="7702" max="7705" width="12.375" style="183" customWidth="1"/>
    <col min="7706" max="7708" width="7" style="183" customWidth="1"/>
    <col min="7709" max="7936" width="9" style="183"/>
    <col min="7937" max="7937" width="2.625" style="183" customWidth="1"/>
    <col min="7938" max="7938" width="18.875" style="183" customWidth="1"/>
    <col min="7939" max="7939" width="26.625" style="183" customWidth="1"/>
    <col min="7940" max="7940" width="14.375" style="183" customWidth="1"/>
    <col min="7941" max="7941" width="3.125" style="183" customWidth="1"/>
    <col min="7942" max="7945" width="12.375" style="183" customWidth="1"/>
    <col min="7946" max="7948" width="7" style="183" customWidth="1"/>
    <col min="7949" max="7949" width="3.125" style="183" customWidth="1"/>
    <col min="7950" max="7953" width="12.375" style="183" customWidth="1"/>
    <col min="7954" max="7956" width="7" style="183" customWidth="1"/>
    <col min="7957" max="7957" width="3" style="183" customWidth="1"/>
    <col min="7958" max="7961" width="12.375" style="183" customWidth="1"/>
    <col min="7962" max="7964" width="7" style="183" customWidth="1"/>
    <col min="7965" max="8192" width="9" style="183"/>
    <col min="8193" max="8193" width="2.625" style="183" customWidth="1"/>
    <col min="8194" max="8194" width="18.875" style="183" customWidth="1"/>
    <col min="8195" max="8195" width="26.625" style="183" customWidth="1"/>
    <col min="8196" max="8196" width="14.375" style="183" customWidth="1"/>
    <col min="8197" max="8197" width="3.125" style="183" customWidth="1"/>
    <col min="8198" max="8201" width="12.375" style="183" customWidth="1"/>
    <col min="8202" max="8204" width="7" style="183" customWidth="1"/>
    <col min="8205" max="8205" width="3.125" style="183" customWidth="1"/>
    <col min="8206" max="8209" width="12.375" style="183" customWidth="1"/>
    <col min="8210" max="8212" width="7" style="183" customWidth="1"/>
    <col min="8213" max="8213" width="3" style="183" customWidth="1"/>
    <col min="8214" max="8217" width="12.375" style="183" customWidth="1"/>
    <col min="8218" max="8220" width="7" style="183" customWidth="1"/>
    <col min="8221" max="8448" width="9" style="183"/>
    <col min="8449" max="8449" width="2.625" style="183" customWidth="1"/>
    <col min="8450" max="8450" width="18.875" style="183" customWidth="1"/>
    <col min="8451" max="8451" width="26.625" style="183" customWidth="1"/>
    <col min="8452" max="8452" width="14.375" style="183" customWidth="1"/>
    <col min="8453" max="8453" width="3.125" style="183" customWidth="1"/>
    <col min="8454" max="8457" width="12.375" style="183" customWidth="1"/>
    <col min="8458" max="8460" width="7" style="183" customWidth="1"/>
    <col min="8461" max="8461" width="3.125" style="183" customWidth="1"/>
    <col min="8462" max="8465" width="12.375" style="183" customWidth="1"/>
    <col min="8466" max="8468" width="7" style="183" customWidth="1"/>
    <col min="8469" max="8469" width="3" style="183" customWidth="1"/>
    <col min="8470" max="8473" width="12.375" style="183" customWidth="1"/>
    <col min="8474" max="8476" width="7" style="183" customWidth="1"/>
    <col min="8477" max="8704" width="9" style="183"/>
    <col min="8705" max="8705" width="2.625" style="183" customWidth="1"/>
    <col min="8706" max="8706" width="18.875" style="183" customWidth="1"/>
    <col min="8707" max="8707" width="26.625" style="183" customWidth="1"/>
    <col min="8708" max="8708" width="14.375" style="183" customWidth="1"/>
    <col min="8709" max="8709" width="3.125" style="183" customWidth="1"/>
    <col min="8710" max="8713" width="12.375" style="183" customWidth="1"/>
    <col min="8714" max="8716" width="7" style="183" customWidth="1"/>
    <col min="8717" max="8717" width="3.125" style="183" customWidth="1"/>
    <col min="8718" max="8721" width="12.375" style="183" customWidth="1"/>
    <col min="8722" max="8724" width="7" style="183" customWidth="1"/>
    <col min="8725" max="8725" width="3" style="183" customWidth="1"/>
    <col min="8726" max="8729" width="12.375" style="183" customWidth="1"/>
    <col min="8730" max="8732" width="7" style="183" customWidth="1"/>
    <col min="8733" max="8960" width="9" style="183"/>
    <col min="8961" max="8961" width="2.625" style="183" customWidth="1"/>
    <col min="8962" max="8962" width="18.875" style="183" customWidth="1"/>
    <col min="8963" max="8963" width="26.625" style="183" customWidth="1"/>
    <col min="8964" max="8964" width="14.375" style="183" customWidth="1"/>
    <col min="8965" max="8965" width="3.125" style="183" customWidth="1"/>
    <col min="8966" max="8969" width="12.375" style="183" customWidth="1"/>
    <col min="8970" max="8972" width="7" style="183" customWidth="1"/>
    <col min="8973" max="8973" width="3.125" style="183" customWidth="1"/>
    <col min="8974" max="8977" width="12.375" style="183" customWidth="1"/>
    <col min="8978" max="8980" width="7" style="183" customWidth="1"/>
    <col min="8981" max="8981" width="3" style="183" customWidth="1"/>
    <col min="8982" max="8985" width="12.375" style="183" customWidth="1"/>
    <col min="8986" max="8988" width="7" style="183" customWidth="1"/>
    <col min="8989" max="9216" width="9" style="183"/>
    <col min="9217" max="9217" width="2.625" style="183" customWidth="1"/>
    <col min="9218" max="9218" width="18.875" style="183" customWidth="1"/>
    <col min="9219" max="9219" width="26.625" style="183" customWidth="1"/>
    <col min="9220" max="9220" width="14.375" style="183" customWidth="1"/>
    <col min="9221" max="9221" width="3.125" style="183" customWidth="1"/>
    <col min="9222" max="9225" width="12.375" style="183" customWidth="1"/>
    <col min="9226" max="9228" width="7" style="183" customWidth="1"/>
    <col min="9229" max="9229" width="3.125" style="183" customWidth="1"/>
    <col min="9230" max="9233" width="12.375" style="183" customWidth="1"/>
    <col min="9234" max="9236" width="7" style="183" customWidth="1"/>
    <col min="9237" max="9237" width="3" style="183" customWidth="1"/>
    <col min="9238" max="9241" width="12.375" style="183" customWidth="1"/>
    <col min="9242" max="9244" width="7" style="183" customWidth="1"/>
    <col min="9245" max="9472" width="9" style="183"/>
    <col min="9473" max="9473" width="2.625" style="183" customWidth="1"/>
    <col min="9474" max="9474" width="18.875" style="183" customWidth="1"/>
    <col min="9475" max="9475" width="26.625" style="183" customWidth="1"/>
    <col min="9476" max="9476" width="14.375" style="183" customWidth="1"/>
    <col min="9477" max="9477" width="3.125" style="183" customWidth="1"/>
    <col min="9478" max="9481" width="12.375" style="183" customWidth="1"/>
    <col min="9482" max="9484" width="7" style="183" customWidth="1"/>
    <col min="9485" max="9485" width="3.125" style="183" customWidth="1"/>
    <col min="9486" max="9489" width="12.375" style="183" customWidth="1"/>
    <col min="9490" max="9492" width="7" style="183" customWidth="1"/>
    <col min="9493" max="9493" width="3" style="183" customWidth="1"/>
    <col min="9494" max="9497" width="12.375" style="183" customWidth="1"/>
    <col min="9498" max="9500" width="7" style="183" customWidth="1"/>
    <col min="9501" max="9728" width="9" style="183"/>
    <col min="9729" max="9729" width="2.625" style="183" customWidth="1"/>
    <col min="9730" max="9730" width="18.875" style="183" customWidth="1"/>
    <col min="9731" max="9731" width="26.625" style="183" customWidth="1"/>
    <col min="9732" max="9732" width="14.375" style="183" customWidth="1"/>
    <col min="9733" max="9733" width="3.125" style="183" customWidth="1"/>
    <col min="9734" max="9737" width="12.375" style="183" customWidth="1"/>
    <col min="9738" max="9740" width="7" style="183" customWidth="1"/>
    <col min="9741" max="9741" width="3.125" style="183" customWidth="1"/>
    <col min="9742" max="9745" width="12.375" style="183" customWidth="1"/>
    <col min="9746" max="9748" width="7" style="183" customWidth="1"/>
    <col min="9749" max="9749" width="3" style="183" customWidth="1"/>
    <col min="9750" max="9753" width="12.375" style="183" customWidth="1"/>
    <col min="9754" max="9756" width="7" style="183" customWidth="1"/>
    <col min="9757" max="9984" width="9" style="183"/>
    <col min="9985" max="9985" width="2.625" style="183" customWidth="1"/>
    <col min="9986" max="9986" width="18.875" style="183" customWidth="1"/>
    <col min="9987" max="9987" width="26.625" style="183" customWidth="1"/>
    <col min="9988" max="9988" width="14.375" style="183" customWidth="1"/>
    <col min="9989" max="9989" width="3.125" style="183" customWidth="1"/>
    <col min="9990" max="9993" width="12.375" style="183" customWidth="1"/>
    <col min="9994" max="9996" width="7" style="183" customWidth="1"/>
    <col min="9997" max="9997" width="3.125" style="183" customWidth="1"/>
    <col min="9998" max="10001" width="12.375" style="183" customWidth="1"/>
    <col min="10002" max="10004" width="7" style="183" customWidth="1"/>
    <col min="10005" max="10005" width="3" style="183" customWidth="1"/>
    <col min="10006" max="10009" width="12.375" style="183" customWidth="1"/>
    <col min="10010" max="10012" width="7" style="183" customWidth="1"/>
    <col min="10013" max="10240" width="9" style="183"/>
    <col min="10241" max="10241" width="2.625" style="183" customWidth="1"/>
    <col min="10242" max="10242" width="18.875" style="183" customWidth="1"/>
    <col min="10243" max="10243" width="26.625" style="183" customWidth="1"/>
    <col min="10244" max="10244" width="14.375" style="183" customWidth="1"/>
    <col min="10245" max="10245" width="3.125" style="183" customWidth="1"/>
    <col min="10246" max="10249" width="12.375" style="183" customWidth="1"/>
    <col min="10250" max="10252" width="7" style="183" customWidth="1"/>
    <col min="10253" max="10253" width="3.125" style="183" customWidth="1"/>
    <col min="10254" max="10257" width="12.375" style="183" customWidth="1"/>
    <col min="10258" max="10260" width="7" style="183" customWidth="1"/>
    <col min="10261" max="10261" width="3" style="183" customWidth="1"/>
    <col min="10262" max="10265" width="12.375" style="183" customWidth="1"/>
    <col min="10266" max="10268" width="7" style="183" customWidth="1"/>
    <col min="10269" max="10496" width="9" style="183"/>
    <col min="10497" max="10497" width="2.625" style="183" customWidth="1"/>
    <col min="10498" max="10498" width="18.875" style="183" customWidth="1"/>
    <col min="10499" max="10499" width="26.625" style="183" customWidth="1"/>
    <col min="10500" max="10500" width="14.375" style="183" customWidth="1"/>
    <col min="10501" max="10501" width="3.125" style="183" customWidth="1"/>
    <col min="10502" max="10505" width="12.375" style="183" customWidth="1"/>
    <col min="10506" max="10508" width="7" style="183" customWidth="1"/>
    <col min="10509" max="10509" width="3.125" style="183" customWidth="1"/>
    <col min="10510" max="10513" width="12.375" style="183" customWidth="1"/>
    <col min="10514" max="10516" width="7" style="183" customWidth="1"/>
    <col min="10517" max="10517" width="3" style="183" customWidth="1"/>
    <col min="10518" max="10521" width="12.375" style="183" customWidth="1"/>
    <col min="10522" max="10524" width="7" style="183" customWidth="1"/>
    <col min="10525" max="10752" width="9" style="183"/>
    <col min="10753" max="10753" width="2.625" style="183" customWidth="1"/>
    <col min="10754" max="10754" width="18.875" style="183" customWidth="1"/>
    <col min="10755" max="10755" width="26.625" style="183" customWidth="1"/>
    <col min="10756" max="10756" width="14.375" style="183" customWidth="1"/>
    <col min="10757" max="10757" width="3.125" style="183" customWidth="1"/>
    <col min="10758" max="10761" width="12.375" style="183" customWidth="1"/>
    <col min="10762" max="10764" width="7" style="183" customWidth="1"/>
    <col min="10765" max="10765" width="3.125" style="183" customWidth="1"/>
    <col min="10766" max="10769" width="12.375" style="183" customWidth="1"/>
    <col min="10770" max="10772" width="7" style="183" customWidth="1"/>
    <col min="10773" max="10773" width="3" style="183" customWidth="1"/>
    <col min="10774" max="10777" width="12.375" style="183" customWidth="1"/>
    <col min="10778" max="10780" width="7" style="183" customWidth="1"/>
    <col min="10781" max="11008" width="9" style="183"/>
    <col min="11009" max="11009" width="2.625" style="183" customWidth="1"/>
    <col min="11010" max="11010" width="18.875" style="183" customWidth="1"/>
    <col min="11011" max="11011" width="26.625" style="183" customWidth="1"/>
    <col min="11012" max="11012" width="14.375" style="183" customWidth="1"/>
    <col min="11013" max="11013" width="3.125" style="183" customWidth="1"/>
    <col min="11014" max="11017" width="12.375" style="183" customWidth="1"/>
    <col min="11018" max="11020" width="7" style="183" customWidth="1"/>
    <col min="11021" max="11021" width="3.125" style="183" customWidth="1"/>
    <col min="11022" max="11025" width="12.375" style="183" customWidth="1"/>
    <col min="11026" max="11028" width="7" style="183" customWidth="1"/>
    <col min="11029" max="11029" width="3" style="183" customWidth="1"/>
    <col min="11030" max="11033" width="12.375" style="183" customWidth="1"/>
    <col min="11034" max="11036" width="7" style="183" customWidth="1"/>
    <col min="11037" max="11264" width="9" style="183"/>
    <col min="11265" max="11265" width="2.625" style="183" customWidth="1"/>
    <col min="11266" max="11266" width="18.875" style="183" customWidth="1"/>
    <col min="11267" max="11267" width="26.625" style="183" customWidth="1"/>
    <col min="11268" max="11268" width="14.375" style="183" customWidth="1"/>
    <col min="11269" max="11269" width="3.125" style="183" customWidth="1"/>
    <col min="11270" max="11273" width="12.375" style="183" customWidth="1"/>
    <col min="11274" max="11276" width="7" style="183" customWidth="1"/>
    <col min="11277" max="11277" width="3.125" style="183" customWidth="1"/>
    <col min="11278" max="11281" width="12.375" style="183" customWidth="1"/>
    <col min="11282" max="11284" width="7" style="183" customWidth="1"/>
    <col min="11285" max="11285" width="3" style="183" customWidth="1"/>
    <col min="11286" max="11289" width="12.375" style="183" customWidth="1"/>
    <col min="11290" max="11292" width="7" style="183" customWidth="1"/>
    <col min="11293" max="11520" width="9" style="183"/>
    <col min="11521" max="11521" width="2.625" style="183" customWidth="1"/>
    <col min="11522" max="11522" width="18.875" style="183" customWidth="1"/>
    <col min="11523" max="11523" width="26.625" style="183" customWidth="1"/>
    <col min="11524" max="11524" width="14.375" style="183" customWidth="1"/>
    <col min="11525" max="11525" width="3.125" style="183" customWidth="1"/>
    <col min="11526" max="11529" width="12.375" style="183" customWidth="1"/>
    <col min="11530" max="11532" width="7" style="183" customWidth="1"/>
    <col min="11533" max="11533" width="3.125" style="183" customWidth="1"/>
    <col min="11534" max="11537" width="12.375" style="183" customWidth="1"/>
    <col min="11538" max="11540" width="7" style="183" customWidth="1"/>
    <col min="11541" max="11541" width="3" style="183" customWidth="1"/>
    <col min="11542" max="11545" width="12.375" style="183" customWidth="1"/>
    <col min="11546" max="11548" width="7" style="183" customWidth="1"/>
    <col min="11549" max="11776" width="9" style="183"/>
    <col min="11777" max="11777" width="2.625" style="183" customWidth="1"/>
    <col min="11778" max="11778" width="18.875" style="183" customWidth="1"/>
    <col min="11779" max="11779" width="26.625" style="183" customWidth="1"/>
    <col min="11780" max="11780" width="14.375" style="183" customWidth="1"/>
    <col min="11781" max="11781" width="3.125" style="183" customWidth="1"/>
    <col min="11782" max="11785" width="12.375" style="183" customWidth="1"/>
    <col min="11786" max="11788" width="7" style="183" customWidth="1"/>
    <col min="11789" max="11789" width="3.125" style="183" customWidth="1"/>
    <col min="11790" max="11793" width="12.375" style="183" customWidth="1"/>
    <col min="11794" max="11796" width="7" style="183" customWidth="1"/>
    <col min="11797" max="11797" width="3" style="183" customWidth="1"/>
    <col min="11798" max="11801" width="12.375" style="183" customWidth="1"/>
    <col min="11802" max="11804" width="7" style="183" customWidth="1"/>
    <col min="11805" max="12032" width="9" style="183"/>
    <col min="12033" max="12033" width="2.625" style="183" customWidth="1"/>
    <col min="12034" max="12034" width="18.875" style="183" customWidth="1"/>
    <col min="12035" max="12035" width="26.625" style="183" customWidth="1"/>
    <col min="12036" max="12036" width="14.375" style="183" customWidth="1"/>
    <col min="12037" max="12037" width="3.125" style="183" customWidth="1"/>
    <col min="12038" max="12041" width="12.375" style="183" customWidth="1"/>
    <col min="12042" max="12044" width="7" style="183" customWidth="1"/>
    <col min="12045" max="12045" width="3.125" style="183" customWidth="1"/>
    <col min="12046" max="12049" width="12.375" style="183" customWidth="1"/>
    <col min="12050" max="12052" width="7" style="183" customWidth="1"/>
    <col min="12053" max="12053" width="3" style="183" customWidth="1"/>
    <col min="12054" max="12057" width="12.375" style="183" customWidth="1"/>
    <col min="12058" max="12060" width="7" style="183" customWidth="1"/>
    <col min="12061" max="12288" width="9" style="183"/>
    <col min="12289" max="12289" width="2.625" style="183" customWidth="1"/>
    <col min="12290" max="12290" width="18.875" style="183" customWidth="1"/>
    <col min="12291" max="12291" width="26.625" style="183" customWidth="1"/>
    <col min="12292" max="12292" width="14.375" style="183" customWidth="1"/>
    <col min="12293" max="12293" width="3.125" style="183" customWidth="1"/>
    <col min="12294" max="12297" width="12.375" style="183" customWidth="1"/>
    <col min="12298" max="12300" width="7" style="183" customWidth="1"/>
    <col min="12301" max="12301" width="3.125" style="183" customWidth="1"/>
    <col min="12302" max="12305" width="12.375" style="183" customWidth="1"/>
    <col min="12306" max="12308" width="7" style="183" customWidth="1"/>
    <col min="12309" max="12309" width="3" style="183" customWidth="1"/>
    <col min="12310" max="12313" width="12.375" style="183" customWidth="1"/>
    <col min="12314" max="12316" width="7" style="183" customWidth="1"/>
    <col min="12317" max="12544" width="9" style="183"/>
    <col min="12545" max="12545" width="2.625" style="183" customWidth="1"/>
    <col min="12546" max="12546" width="18.875" style="183" customWidth="1"/>
    <col min="12547" max="12547" width="26.625" style="183" customWidth="1"/>
    <col min="12548" max="12548" width="14.375" style="183" customWidth="1"/>
    <col min="12549" max="12549" width="3.125" style="183" customWidth="1"/>
    <col min="12550" max="12553" width="12.375" style="183" customWidth="1"/>
    <col min="12554" max="12556" width="7" style="183" customWidth="1"/>
    <col min="12557" max="12557" width="3.125" style="183" customWidth="1"/>
    <col min="12558" max="12561" width="12.375" style="183" customWidth="1"/>
    <col min="12562" max="12564" width="7" style="183" customWidth="1"/>
    <col min="12565" max="12565" width="3" style="183" customWidth="1"/>
    <col min="12566" max="12569" width="12.375" style="183" customWidth="1"/>
    <col min="12570" max="12572" width="7" style="183" customWidth="1"/>
    <col min="12573" max="12800" width="9" style="183"/>
    <col min="12801" max="12801" width="2.625" style="183" customWidth="1"/>
    <col min="12802" max="12802" width="18.875" style="183" customWidth="1"/>
    <col min="12803" max="12803" width="26.625" style="183" customWidth="1"/>
    <col min="12804" max="12804" width="14.375" style="183" customWidth="1"/>
    <col min="12805" max="12805" width="3.125" style="183" customWidth="1"/>
    <col min="12806" max="12809" width="12.375" style="183" customWidth="1"/>
    <col min="12810" max="12812" width="7" style="183" customWidth="1"/>
    <col min="12813" max="12813" width="3.125" style="183" customWidth="1"/>
    <col min="12814" max="12817" width="12.375" style="183" customWidth="1"/>
    <col min="12818" max="12820" width="7" style="183" customWidth="1"/>
    <col min="12821" max="12821" width="3" style="183" customWidth="1"/>
    <col min="12822" max="12825" width="12.375" style="183" customWidth="1"/>
    <col min="12826" max="12828" width="7" style="183" customWidth="1"/>
    <col min="12829" max="13056" width="9" style="183"/>
    <col min="13057" max="13057" width="2.625" style="183" customWidth="1"/>
    <col min="13058" max="13058" width="18.875" style="183" customWidth="1"/>
    <col min="13059" max="13059" width="26.625" style="183" customWidth="1"/>
    <col min="13060" max="13060" width="14.375" style="183" customWidth="1"/>
    <col min="13061" max="13061" width="3.125" style="183" customWidth="1"/>
    <col min="13062" max="13065" width="12.375" style="183" customWidth="1"/>
    <col min="13066" max="13068" width="7" style="183" customWidth="1"/>
    <col min="13069" max="13069" width="3.125" style="183" customWidth="1"/>
    <col min="13070" max="13073" width="12.375" style="183" customWidth="1"/>
    <col min="13074" max="13076" width="7" style="183" customWidth="1"/>
    <col min="13077" max="13077" width="3" style="183" customWidth="1"/>
    <col min="13078" max="13081" width="12.375" style="183" customWidth="1"/>
    <col min="13082" max="13084" width="7" style="183" customWidth="1"/>
    <col min="13085" max="13312" width="9" style="183"/>
    <col min="13313" max="13313" width="2.625" style="183" customWidth="1"/>
    <col min="13314" max="13314" width="18.875" style="183" customWidth="1"/>
    <col min="13315" max="13315" width="26.625" style="183" customWidth="1"/>
    <col min="13316" max="13316" width="14.375" style="183" customWidth="1"/>
    <col min="13317" max="13317" width="3.125" style="183" customWidth="1"/>
    <col min="13318" max="13321" width="12.375" style="183" customWidth="1"/>
    <col min="13322" max="13324" width="7" style="183" customWidth="1"/>
    <col min="13325" max="13325" width="3.125" style="183" customWidth="1"/>
    <col min="13326" max="13329" width="12.375" style="183" customWidth="1"/>
    <col min="13330" max="13332" width="7" style="183" customWidth="1"/>
    <col min="13333" max="13333" width="3" style="183" customWidth="1"/>
    <col min="13334" max="13337" width="12.375" style="183" customWidth="1"/>
    <col min="13338" max="13340" width="7" style="183" customWidth="1"/>
    <col min="13341" max="13568" width="9" style="183"/>
    <col min="13569" max="13569" width="2.625" style="183" customWidth="1"/>
    <col min="13570" max="13570" width="18.875" style="183" customWidth="1"/>
    <col min="13571" max="13571" width="26.625" style="183" customWidth="1"/>
    <col min="13572" max="13572" width="14.375" style="183" customWidth="1"/>
    <col min="13573" max="13573" width="3.125" style="183" customWidth="1"/>
    <col min="13574" max="13577" width="12.375" style="183" customWidth="1"/>
    <col min="13578" max="13580" width="7" style="183" customWidth="1"/>
    <col min="13581" max="13581" width="3.125" style="183" customWidth="1"/>
    <col min="13582" max="13585" width="12.375" style="183" customWidth="1"/>
    <col min="13586" max="13588" width="7" style="183" customWidth="1"/>
    <col min="13589" max="13589" width="3" style="183" customWidth="1"/>
    <col min="13590" max="13593" width="12.375" style="183" customWidth="1"/>
    <col min="13594" max="13596" width="7" style="183" customWidth="1"/>
    <col min="13597" max="13824" width="9" style="183"/>
    <col min="13825" max="13825" width="2.625" style="183" customWidth="1"/>
    <col min="13826" max="13826" width="18.875" style="183" customWidth="1"/>
    <col min="13827" max="13827" width="26.625" style="183" customWidth="1"/>
    <col min="13828" max="13828" width="14.375" style="183" customWidth="1"/>
    <col min="13829" max="13829" width="3.125" style="183" customWidth="1"/>
    <col min="13830" max="13833" width="12.375" style="183" customWidth="1"/>
    <col min="13834" max="13836" width="7" style="183" customWidth="1"/>
    <col min="13837" max="13837" width="3.125" style="183" customWidth="1"/>
    <col min="13838" max="13841" width="12.375" style="183" customWidth="1"/>
    <col min="13842" max="13844" width="7" style="183" customWidth="1"/>
    <col min="13845" max="13845" width="3" style="183" customWidth="1"/>
    <col min="13846" max="13849" width="12.375" style="183" customWidth="1"/>
    <col min="13850" max="13852" width="7" style="183" customWidth="1"/>
    <col min="13853" max="14080" width="9" style="183"/>
    <col min="14081" max="14081" width="2.625" style="183" customWidth="1"/>
    <col min="14082" max="14082" width="18.875" style="183" customWidth="1"/>
    <col min="14083" max="14083" width="26.625" style="183" customWidth="1"/>
    <col min="14084" max="14084" width="14.375" style="183" customWidth="1"/>
    <col min="14085" max="14085" width="3.125" style="183" customWidth="1"/>
    <col min="14086" max="14089" width="12.375" style="183" customWidth="1"/>
    <col min="14090" max="14092" width="7" style="183" customWidth="1"/>
    <col min="14093" max="14093" width="3.125" style="183" customWidth="1"/>
    <col min="14094" max="14097" width="12.375" style="183" customWidth="1"/>
    <col min="14098" max="14100" width="7" style="183" customWidth="1"/>
    <col min="14101" max="14101" width="3" style="183" customWidth="1"/>
    <col min="14102" max="14105" width="12.375" style="183" customWidth="1"/>
    <col min="14106" max="14108" width="7" style="183" customWidth="1"/>
    <col min="14109" max="14336" width="9" style="183"/>
    <col min="14337" max="14337" width="2.625" style="183" customWidth="1"/>
    <col min="14338" max="14338" width="18.875" style="183" customWidth="1"/>
    <col min="14339" max="14339" width="26.625" style="183" customWidth="1"/>
    <col min="14340" max="14340" width="14.375" style="183" customWidth="1"/>
    <col min="14341" max="14341" width="3.125" style="183" customWidth="1"/>
    <col min="14342" max="14345" width="12.375" style="183" customWidth="1"/>
    <col min="14346" max="14348" width="7" style="183" customWidth="1"/>
    <col min="14349" max="14349" width="3.125" style="183" customWidth="1"/>
    <col min="14350" max="14353" width="12.375" style="183" customWidth="1"/>
    <col min="14354" max="14356" width="7" style="183" customWidth="1"/>
    <col min="14357" max="14357" width="3" style="183" customWidth="1"/>
    <col min="14358" max="14361" width="12.375" style="183" customWidth="1"/>
    <col min="14362" max="14364" width="7" style="183" customWidth="1"/>
    <col min="14365" max="14592" width="9" style="183"/>
    <col min="14593" max="14593" width="2.625" style="183" customWidth="1"/>
    <col min="14594" max="14594" width="18.875" style="183" customWidth="1"/>
    <col min="14595" max="14595" width="26.625" style="183" customWidth="1"/>
    <col min="14596" max="14596" width="14.375" style="183" customWidth="1"/>
    <col min="14597" max="14597" width="3.125" style="183" customWidth="1"/>
    <col min="14598" max="14601" width="12.375" style="183" customWidth="1"/>
    <col min="14602" max="14604" width="7" style="183" customWidth="1"/>
    <col min="14605" max="14605" width="3.125" style="183" customWidth="1"/>
    <col min="14606" max="14609" width="12.375" style="183" customWidth="1"/>
    <col min="14610" max="14612" width="7" style="183" customWidth="1"/>
    <col min="14613" max="14613" width="3" style="183" customWidth="1"/>
    <col min="14614" max="14617" width="12.375" style="183" customWidth="1"/>
    <col min="14618" max="14620" width="7" style="183" customWidth="1"/>
    <col min="14621" max="14848" width="9" style="183"/>
    <col min="14849" max="14849" width="2.625" style="183" customWidth="1"/>
    <col min="14850" max="14850" width="18.875" style="183" customWidth="1"/>
    <col min="14851" max="14851" width="26.625" style="183" customWidth="1"/>
    <col min="14852" max="14852" width="14.375" style="183" customWidth="1"/>
    <col min="14853" max="14853" width="3.125" style="183" customWidth="1"/>
    <col min="14854" max="14857" width="12.375" style="183" customWidth="1"/>
    <col min="14858" max="14860" width="7" style="183" customWidth="1"/>
    <col min="14861" max="14861" width="3.125" style="183" customWidth="1"/>
    <col min="14862" max="14865" width="12.375" style="183" customWidth="1"/>
    <col min="14866" max="14868" width="7" style="183" customWidth="1"/>
    <col min="14869" max="14869" width="3" style="183" customWidth="1"/>
    <col min="14870" max="14873" width="12.375" style="183" customWidth="1"/>
    <col min="14874" max="14876" width="7" style="183" customWidth="1"/>
    <col min="14877" max="15104" width="9" style="183"/>
    <col min="15105" max="15105" width="2.625" style="183" customWidth="1"/>
    <col min="15106" max="15106" width="18.875" style="183" customWidth="1"/>
    <col min="15107" max="15107" width="26.625" style="183" customWidth="1"/>
    <col min="15108" max="15108" width="14.375" style="183" customWidth="1"/>
    <col min="15109" max="15109" width="3.125" style="183" customWidth="1"/>
    <col min="15110" max="15113" width="12.375" style="183" customWidth="1"/>
    <col min="15114" max="15116" width="7" style="183" customWidth="1"/>
    <col min="15117" max="15117" width="3.125" style="183" customWidth="1"/>
    <col min="15118" max="15121" width="12.375" style="183" customWidth="1"/>
    <col min="15122" max="15124" width="7" style="183" customWidth="1"/>
    <col min="15125" max="15125" width="3" style="183" customWidth="1"/>
    <col min="15126" max="15129" width="12.375" style="183" customWidth="1"/>
    <col min="15130" max="15132" width="7" style="183" customWidth="1"/>
    <col min="15133" max="15360" width="9" style="183"/>
    <col min="15361" max="15361" width="2.625" style="183" customWidth="1"/>
    <col min="15362" max="15362" width="18.875" style="183" customWidth="1"/>
    <col min="15363" max="15363" width="26.625" style="183" customWidth="1"/>
    <col min="15364" max="15364" width="14.375" style="183" customWidth="1"/>
    <col min="15365" max="15365" width="3.125" style="183" customWidth="1"/>
    <col min="15366" max="15369" width="12.375" style="183" customWidth="1"/>
    <col min="15370" max="15372" width="7" style="183" customWidth="1"/>
    <col min="15373" max="15373" width="3.125" style="183" customWidth="1"/>
    <col min="15374" max="15377" width="12.375" style="183" customWidth="1"/>
    <col min="15378" max="15380" width="7" style="183" customWidth="1"/>
    <col min="15381" max="15381" width="3" style="183" customWidth="1"/>
    <col min="15382" max="15385" width="12.375" style="183" customWidth="1"/>
    <col min="15386" max="15388" width="7" style="183" customWidth="1"/>
    <col min="15389" max="15616" width="9" style="183"/>
    <col min="15617" max="15617" width="2.625" style="183" customWidth="1"/>
    <col min="15618" max="15618" width="18.875" style="183" customWidth="1"/>
    <col min="15619" max="15619" width="26.625" style="183" customWidth="1"/>
    <col min="15620" max="15620" width="14.375" style="183" customWidth="1"/>
    <col min="15621" max="15621" width="3.125" style="183" customWidth="1"/>
    <col min="15622" max="15625" width="12.375" style="183" customWidth="1"/>
    <col min="15626" max="15628" width="7" style="183" customWidth="1"/>
    <col min="15629" max="15629" width="3.125" style="183" customWidth="1"/>
    <col min="15630" max="15633" width="12.375" style="183" customWidth="1"/>
    <col min="15634" max="15636" width="7" style="183" customWidth="1"/>
    <col min="15637" max="15637" width="3" style="183" customWidth="1"/>
    <col min="15638" max="15641" width="12.375" style="183" customWidth="1"/>
    <col min="15642" max="15644" width="7" style="183" customWidth="1"/>
    <col min="15645" max="15872" width="9" style="183"/>
    <col min="15873" max="15873" width="2.625" style="183" customWidth="1"/>
    <col min="15874" max="15874" width="18.875" style="183" customWidth="1"/>
    <col min="15875" max="15875" width="26.625" style="183" customWidth="1"/>
    <col min="15876" max="15876" width="14.375" style="183" customWidth="1"/>
    <col min="15877" max="15877" width="3.125" style="183" customWidth="1"/>
    <col min="15878" max="15881" width="12.375" style="183" customWidth="1"/>
    <col min="15882" max="15884" width="7" style="183" customWidth="1"/>
    <col min="15885" max="15885" width="3.125" style="183" customWidth="1"/>
    <col min="15886" max="15889" width="12.375" style="183" customWidth="1"/>
    <col min="15890" max="15892" width="7" style="183" customWidth="1"/>
    <col min="15893" max="15893" width="3" style="183" customWidth="1"/>
    <col min="15894" max="15897" width="12.375" style="183" customWidth="1"/>
    <col min="15898" max="15900" width="7" style="183" customWidth="1"/>
    <col min="15901" max="16128" width="9" style="183"/>
    <col min="16129" max="16129" width="2.625" style="183" customWidth="1"/>
    <col min="16130" max="16130" width="18.875" style="183" customWidth="1"/>
    <col min="16131" max="16131" width="26.625" style="183" customWidth="1"/>
    <col min="16132" max="16132" width="14.375" style="183" customWidth="1"/>
    <col min="16133" max="16133" width="3.125" style="183" customWidth="1"/>
    <col min="16134" max="16137" width="12.375" style="183" customWidth="1"/>
    <col min="16138" max="16140" width="7" style="183" customWidth="1"/>
    <col min="16141" max="16141" width="3.125" style="183" customWidth="1"/>
    <col min="16142" max="16145" width="12.375" style="183" customWidth="1"/>
    <col min="16146" max="16148" width="7" style="183" customWidth="1"/>
    <col min="16149" max="16149" width="3" style="183" customWidth="1"/>
    <col min="16150" max="16153" width="12.375" style="183" customWidth="1"/>
    <col min="16154" max="16156" width="7" style="183" customWidth="1"/>
    <col min="16157" max="16384" width="9" style="183"/>
  </cols>
  <sheetData>
    <row r="1" spans="1:39" s="181" customFormat="1" ht="57.75" customHeight="1" x14ac:dyDescent="0.25">
      <c r="A1" s="175" t="s">
        <v>0</v>
      </c>
      <c r="B1" s="176"/>
      <c r="C1" s="177"/>
      <c r="D1" s="403" t="s">
        <v>32</v>
      </c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178"/>
      <c r="W1" s="178"/>
      <c r="X1" s="178"/>
      <c r="Y1" s="178"/>
      <c r="Z1" s="177"/>
      <c r="AA1" s="177"/>
      <c r="AB1" s="179" t="s">
        <v>0</v>
      </c>
      <c r="AC1" s="180"/>
    </row>
    <row r="2" spans="1:39" s="181" customFormat="1" ht="24.75" customHeight="1" thickBot="1" x14ac:dyDescent="0.3"/>
    <row r="3" spans="1:39" ht="47.25" customHeight="1" thickBot="1" x14ac:dyDescent="0.3">
      <c r="A3" s="404" t="s">
        <v>31</v>
      </c>
      <c r="B3" s="405"/>
      <c r="C3" s="406" t="s">
        <v>124</v>
      </c>
      <c r="D3" s="407"/>
      <c r="E3" s="182"/>
      <c r="H3" s="184"/>
      <c r="L3" s="185" t="s">
        <v>89</v>
      </c>
      <c r="AD3" s="181"/>
      <c r="AE3" s="181"/>
      <c r="AF3" s="181"/>
      <c r="AG3" s="181"/>
      <c r="AH3" s="181"/>
      <c r="AI3" s="181"/>
      <c r="AJ3" s="181"/>
      <c r="AK3" s="181"/>
      <c r="AL3" s="181"/>
      <c r="AM3" s="181"/>
    </row>
    <row r="4" spans="1:39" ht="24.75" customHeight="1" thickBot="1" x14ac:dyDescent="0.3">
      <c r="E4" s="186"/>
      <c r="H4" s="187" t="s">
        <v>28</v>
      </c>
      <c r="I4" s="188"/>
      <c r="J4" s="188"/>
      <c r="K4" s="188"/>
      <c r="L4" s="189" t="s">
        <v>16</v>
      </c>
      <c r="M4" s="188"/>
      <c r="N4" s="188"/>
      <c r="O4" s="188"/>
      <c r="P4" s="187" t="s">
        <v>29</v>
      </c>
      <c r="AD4" s="181"/>
      <c r="AE4" s="181"/>
      <c r="AF4" s="181"/>
      <c r="AG4" s="181"/>
      <c r="AH4" s="181"/>
      <c r="AI4" s="181"/>
      <c r="AJ4" s="181"/>
      <c r="AK4" s="181"/>
      <c r="AL4" s="181"/>
      <c r="AM4" s="181"/>
    </row>
    <row r="5" spans="1:39" ht="47.25" customHeight="1" thickBot="1" x14ac:dyDescent="0.3">
      <c r="A5" s="404" t="s">
        <v>30</v>
      </c>
      <c r="B5" s="405"/>
      <c r="C5" s="406" t="s">
        <v>125</v>
      </c>
      <c r="D5" s="407"/>
      <c r="E5" s="190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1:39" ht="24.75" customHeight="1" x14ac:dyDescent="0.25">
      <c r="A6" s="190"/>
      <c r="B6" s="190"/>
      <c r="E6" s="190"/>
      <c r="F6" s="397" t="s">
        <v>6</v>
      </c>
      <c r="G6" s="397"/>
      <c r="H6" s="397"/>
      <c r="I6" s="397"/>
      <c r="J6" s="397"/>
      <c r="K6" s="397"/>
      <c r="L6" s="397"/>
      <c r="M6" s="191"/>
      <c r="N6" s="397" t="s">
        <v>15</v>
      </c>
      <c r="O6" s="397"/>
      <c r="P6" s="397"/>
      <c r="Q6" s="397"/>
      <c r="R6" s="397"/>
      <c r="S6" s="397"/>
      <c r="T6" s="397"/>
      <c r="U6" s="191"/>
      <c r="V6" s="400" t="s">
        <v>7</v>
      </c>
      <c r="W6" s="400"/>
      <c r="X6" s="400"/>
      <c r="Y6" s="400"/>
      <c r="Z6" s="400"/>
      <c r="AA6" s="400"/>
      <c r="AB6" s="400"/>
      <c r="AC6" s="186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1:39" ht="24.75" customHeight="1" x14ac:dyDescent="0.25">
      <c r="A7" s="192" t="s">
        <v>23</v>
      </c>
      <c r="B7" s="193"/>
      <c r="C7" s="194"/>
      <c r="D7" s="195" t="str">
        <f ca="1">IF(MONTH(TODAY())&lt;6,"( in Nov-Dec   -   March. Forecast )","( in May-Jun   -   Nov. Forecast )")</f>
        <v>( in May-Jun   -   Nov. Forecast )</v>
      </c>
      <c r="E7" s="196"/>
      <c r="F7" s="398">
        <v>2015</v>
      </c>
      <c r="G7" s="393">
        <f>+F7+1</f>
        <v>2016</v>
      </c>
      <c r="H7" s="393">
        <f>+G7+1</f>
        <v>2017</v>
      </c>
      <c r="I7" s="395">
        <f>+H7+1</f>
        <v>2018</v>
      </c>
      <c r="J7" s="197"/>
      <c r="K7" s="198" t="s">
        <v>11</v>
      </c>
      <c r="L7" s="199"/>
      <c r="N7" s="401"/>
      <c r="O7" s="401"/>
      <c r="P7" s="401"/>
      <c r="Q7" s="401"/>
      <c r="R7" s="200"/>
      <c r="S7" s="201"/>
      <c r="T7" s="200"/>
      <c r="U7" s="202"/>
      <c r="V7" s="402"/>
      <c r="W7" s="402"/>
      <c r="X7" s="402"/>
      <c r="Y7" s="402"/>
      <c r="Z7" s="200"/>
      <c r="AA7" s="201"/>
      <c r="AB7" s="200"/>
      <c r="AC7" s="203"/>
      <c r="AD7" s="181"/>
      <c r="AE7" s="181"/>
      <c r="AF7" s="181"/>
      <c r="AG7" s="181"/>
      <c r="AH7" s="181"/>
      <c r="AI7" s="181"/>
      <c r="AJ7" s="181"/>
      <c r="AK7" s="181"/>
      <c r="AL7" s="181"/>
      <c r="AM7" s="181"/>
    </row>
    <row r="8" spans="1:39" ht="24.75" customHeight="1" x14ac:dyDescent="0.25">
      <c r="A8" s="204"/>
      <c r="B8" s="193"/>
      <c r="C8" s="194"/>
      <c r="D8" s="205" t="s">
        <v>24</v>
      </c>
      <c r="E8" s="196"/>
      <c r="F8" s="399"/>
      <c r="G8" s="394"/>
      <c r="H8" s="394"/>
      <c r="I8" s="396"/>
      <c r="J8" s="206" t="str">
        <f>G7&amp;"/"&amp;RIGHT(F7,2)</f>
        <v>2016/15</v>
      </c>
      <c r="K8" s="207" t="str">
        <f>H7&amp;"/"&amp;RIGHT(G7,2)</f>
        <v>2017/16</v>
      </c>
      <c r="L8" s="208" t="str">
        <f>I7&amp;"/"&amp;RIGHT(H7,2)</f>
        <v>2018/17</v>
      </c>
      <c r="N8" s="402"/>
      <c r="O8" s="402"/>
      <c r="P8" s="402"/>
      <c r="Q8" s="402"/>
      <c r="R8" s="209"/>
      <c r="S8" s="209"/>
      <c r="T8" s="209"/>
      <c r="U8" s="202"/>
      <c r="V8" s="402"/>
      <c r="W8" s="402"/>
      <c r="X8" s="402"/>
      <c r="Y8" s="402"/>
      <c r="Z8" s="209"/>
      <c r="AA8" s="209"/>
      <c r="AB8" s="209"/>
      <c r="AC8" s="202"/>
      <c r="AD8" s="181"/>
      <c r="AE8" s="181"/>
      <c r="AF8" s="181"/>
      <c r="AG8" s="181"/>
      <c r="AH8" s="181"/>
      <c r="AI8" s="181"/>
      <c r="AJ8" s="181"/>
      <c r="AK8" s="181"/>
      <c r="AL8" s="181"/>
      <c r="AM8" s="181"/>
    </row>
    <row r="9" spans="1:39" ht="24.75" customHeight="1" x14ac:dyDescent="0.25">
      <c r="A9" s="190"/>
      <c r="B9" s="210" t="s">
        <v>18</v>
      </c>
      <c r="C9" s="190"/>
      <c r="D9" s="190"/>
      <c r="E9" s="190"/>
      <c r="F9" s="211">
        <v>9919</v>
      </c>
      <c r="G9" s="212">
        <v>10033</v>
      </c>
      <c r="H9" s="212">
        <v>9993</v>
      </c>
      <c r="I9" s="308">
        <v>9965</v>
      </c>
      <c r="J9" s="56">
        <f t="shared" ref="J9:L12" si="0">IF(OR(G9=0,F9=0),"",G9/F9-1)</f>
        <v>1.1493094061901354E-2</v>
      </c>
      <c r="K9" s="57">
        <f t="shared" si="0"/>
        <v>-3.986843416724839E-3</v>
      </c>
      <c r="L9" s="58">
        <f t="shared" si="0"/>
        <v>-2.8019613729610704E-3</v>
      </c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181"/>
      <c r="AE9" s="181"/>
      <c r="AF9" s="181"/>
      <c r="AG9" s="181"/>
      <c r="AH9" s="181"/>
      <c r="AI9" s="181"/>
      <c r="AJ9" s="181"/>
      <c r="AK9" s="181"/>
      <c r="AL9" s="181"/>
      <c r="AM9" s="181"/>
    </row>
    <row r="10" spans="1:39" ht="24.75" customHeight="1" x14ac:dyDescent="0.25">
      <c r="A10" s="190"/>
      <c r="C10" s="213" t="s">
        <v>33</v>
      </c>
      <c r="D10" s="186"/>
      <c r="E10" s="190"/>
      <c r="F10" s="214">
        <v>1895</v>
      </c>
      <c r="G10" s="215">
        <v>1897</v>
      </c>
      <c r="H10" s="215">
        <v>1891</v>
      </c>
      <c r="I10" s="309">
        <v>1879</v>
      </c>
      <c r="J10" s="59">
        <f t="shared" si="0"/>
        <v>1.0554089709762238E-3</v>
      </c>
      <c r="K10" s="60">
        <f t="shared" si="0"/>
        <v>-3.162888771744865E-3</v>
      </c>
      <c r="L10" s="61">
        <f t="shared" si="0"/>
        <v>-6.3458487572712885E-3</v>
      </c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</row>
    <row r="11" spans="1:39" ht="24.75" customHeight="1" x14ac:dyDescent="0.25">
      <c r="A11" s="190"/>
      <c r="C11" s="216" t="s">
        <v>34</v>
      </c>
      <c r="D11" s="216"/>
      <c r="E11" s="190"/>
      <c r="F11" s="214">
        <v>1576</v>
      </c>
      <c r="G11" s="215">
        <v>1595</v>
      </c>
      <c r="H11" s="215">
        <v>1589</v>
      </c>
      <c r="I11" s="309">
        <v>1595</v>
      </c>
      <c r="J11" s="59">
        <f t="shared" si="0"/>
        <v>1.2055837563451854E-2</v>
      </c>
      <c r="K11" s="60">
        <f t="shared" si="0"/>
        <v>-3.7617554858934144E-3</v>
      </c>
      <c r="L11" s="61">
        <f t="shared" si="0"/>
        <v>3.7759597230961894E-3</v>
      </c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</row>
    <row r="12" spans="1:39" ht="24.75" customHeight="1" x14ac:dyDescent="0.25">
      <c r="A12" s="190"/>
      <c r="C12" s="217" t="s">
        <v>38</v>
      </c>
      <c r="D12" s="186"/>
      <c r="E12" s="190"/>
      <c r="F12" s="218">
        <f>+F10+F11</f>
        <v>3471</v>
      </c>
      <c r="G12" s="219">
        <f>+G10+G11</f>
        <v>3492</v>
      </c>
      <c r="H12" s="219">
        <f>+H10+H11</f>
        <v>3480</v>
      </c>
      <c r="I12" s="237">
        <f>+I10+I11</f>
        <v>3474</v>
      </c>
      <c r="J12" s="59">
        <f t="shared" si="0"/>
        <v>6.0501296456352271E-3</v>
      </c>
      <c r="K12" s="60">
        <f t="shared" si="0"/>
        <v>-3.4364261168384758E-3</v>
      </c>
      <c r="L12" s="61">
        <f t="shared" si="0"/>
        <v>-1.7241379310344307E-3</v>
      </c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</row>
    <row r="13" spans="1:39" ht="24.75" customHeight="1" x14ac:dyDescent="0.25">
      <c r="A13" s="220" t="s">
        <v>8</v>
      </c>
      <c r="B13" s="193"/>
      <c r="C13" s="193"/>
      <c r="D13" s="193"/>
      <c r="E13" s="193"/>
      <c r="F13" s="398">
        <f>$F$7</f>
        <v>2015</v>
      </c>
      <c r="G13" s="393">
        <f>+F13+1</f>
        <v>2016</v>
      </c>
      <c r="H13" s="393">
        <f>+G13+1</f>
        <v>2017</v>
      </c>
      <c r="I13" s="395">
        <f>+H13+1</f>
        <v>2018</v>
      </c>
      <c r="J13" s="197"/>
      <c r="K13" s="198" t="s">
        <v>11</v>
      </c>
      <c r="L13" s="199"/>
      <c r="M13" s="221"/>
      <c r="N13" s="398">
        <f>$F$7</f>
        <v>2015</v>
      </c>
      <c r="O13" s="393">
        <f>+N13+1</f>
        <v>2016</v>
      </c>
      <c r="P13" s="393">
        <f>+O13+1</f>
        <v>2017</v>
      </c>
      <c r="Q13" s="395">
        <f>+P13+1</f>
        <v>2018</v>
      </c>
      <c r="R13" s="197"/>
      <c r="S13" s="198" t="s">
        <v>11</v>
      </c>
      <c r="T13" s="199"/>
      <c r="U13" s="221"/>
      <c r="V13" s="398">
        <f>$F$7</f>
        <v>2015</v>
      </c>
      <c r="W13" s="393">
        <f>+V13+1</f>
        <v>2016</v>
      </c>
      <c r="X13" s="393">
        <f>+W13+1</f>
        <v>2017</v>
      </c>
      <c r="Y13" s="395">
        <f>+X13+1</f>
        <v>2018</v>
      </c>
      <c r="Z13" s="197"/>
      <c r="AA13" s="198" t="s">
        <v>11</v>
      </c>
      <c r="AB13" s="199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</row>
    <row r="14" spans="1:39" ht="24.75" customHeight="1" x14ac:dyDescent="0.25">
      <c r="A14" s="222"/>
      <c r="B14" s="193"/>
      <c r="C14" s="193"/>
      <c r="D14" s="223" t="s">
        <v>25</v>
      </c>
      <c r="E14" s="193"/>
      <c r="F14" s="399"/>
      <c r="G14" s="394"/>
      <c r="H14" s="394"/>
      <c r="I14" s="396"/>
      <c r="J14" s="206" t="str">
        <f>G13&amp;"/"&amp;RIGHT(F13,2)</f>
        <v>2016/15</v>
      </c>
      <c r="K14" s="207" t="str">
        <f>H13&amp;"/"&amp;RIGHT(G13,2)</f>
        <v>2017/16</v>
      </c>
      <c r="L14" s="208" t="str">
        <f>I13&amp;"/"&amp;RIGHT(H13,2)</f>
        <v>2018/17</v>
      </c>
      <c r="M14" s="221"/>
      <c r="N14" s="399"/>
      <c r="O14" s="394"/>
      <c r="P14" s="394"/>
      <c r="Q14" s="396"/>
      <c r="R14" s="206" t="str">
        <f>O13&amp;"/"&amp;RIGHT(N13,2)</f>
        <v>2016/15</v>
      </c>
      <c r="S14" s="207" t="str">
        <f>P13&amp;"/"&amp;RIGHT(O13,2)</f>
        <v>2017/16</v>
      </c>
      <c r="T14" s="208" t="str">
        <f>Q13&amp;"/"&amp;RIGHT(P13,2)</f>
        <v>2018/17</v>
      </c>
      <c r="U14" s="221"/>
      <c r="V14" s="399"/>
      <c r="W14" s="394"/>
      <c r="X14" s="394"/>
      <c r="Y14" s="396"/>
      <c r="Z14" s="206" t="str">
        <f>W13&amp;"/"&amp;RIGHT(V13,2)</f>
        <v>2016/15</v>
      </c>
      <c r="AA14" s="207" t="str">
        <f>X13&amp;"/"&amp;RIGHT(W13,2)</f>
        <v>2017/16</v>
      </c>
      <c r="AB14" s="208" t="str">
        <f>Y13&amp;"/"&amp;RIGHT(X13,2)</f>
        <v>2018/17</v>
      </c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</row>
    <row r="15" spans="1:39" ht="24.75" customHeight="1" x14ac:dyDescent="0.25">
      <c r="A15" s="224"/>
      <c r="B15" s="224"/>
      <c r="C15" s="186" t="s">
        <v>1</v>
      </c>
      <c r="D15" s="186"/>
      <c r="E15" s="190"/>
      <c r="F15" s="225">
        <v>432</v>
      </c>
      <c r="G15" s="226">
        <v>453</v>
      </c>
      <c r="H15" s="226">
        <v>439</v>
      </c>
      <c r="I15" s="257">
        <v>444</v>
      </c>
      <c r="J15" s="62">
        <f t="shared" ref="J15:L21" si="1">IF(OR(G15=0,F15=0),"",G15/F15-1)</f>
        <v>4.861111111111116E-2</v>
      </c>
      <c r="K15" s="63">
        <f t="shared" si="1"/>
        <v>-3.0905077262693204E-2</v>
      </c>
      <c r="L15" s="64">
        <f t="shared" si="1"/>
        <v>1.1389521640091216E-2</v>
      </c>
      <c r="N15" s="225"/>
      <c r="O15" s="226"/>
      <c r="P15" s="226"/>
      <c r="Q15" s="257"/>
      <c r="R15" s="62" t="str">
        <f t="shared" ref="R15:T21" si="2">IF(OR(O15=0,N15=0),"",O15/N15-1)</f>
        <v/>
      </c>
      <c r="S15" s="63" t="str">
        <f t="shared" si="2"/>
        <v/>
      </c>
      <c r="T15" s="64" t="str">
        <f t="shared" si="2"/>
        <v/>
      </c>
      <c r="V15" s="227">
        <f>+F15+N15</f>
        <v>432</v>
      </c>
      <c r="W15" s="228">
        <f t="shared" ref="W15:Y21" si="3">+G15+O15</f>
        <v>453</v>
      </c>
      <c r="X15" s="228">
        <f t="shared" si="3"/>
        <v>439</v>
      </c>
      <c r="Y15" s="229">
        <f t="shared" si="3"/>
        <v>444</v>
      </c>
      <c r="Z15" s="59">
        <f t="shared" ref="Z15:AB21" si="4">IF(OR(W15=0,V15=0),"",W15/V15-1)</f>
        <v>4.861111111111116E-2</v>
      </c>
      <c r="AA15" s="60">
        <f t="shared" si="4"/>
        <v>-3.0905077262693204E-2</v>
      </c>
      <c r="AB15" s="61">
        <f t="shared" si="4"/>
        <v>1.1389521640091216E-2</v>
      </c>
      <c r="AD15" s="181"/>
      <c r="AE15" s="249"/>
      <c r="AF15" s="249"/>
      <c r="AG15" s="249"/>
      <c r="AH15" s="249"/>
      <c r="AI15" s="249"/>
      <c r="AJ15" s="181"/>
      <c r="AK15" s="181"/>
      <c r="AL15" s="181"/>
      <c r="AM15" s="181"/>
    </row>
    <row r="16" spans="1:39" ht="24.75" customHeight="1" x14ac:dyDescent="0.25">
      <c r="A16" s="224"/>
      <c r="B16" s="224"/>
      <c r="C16" s="230" t="s">
        <v>2</v>
      </c>
      <c r="D16" s="230"/>
      <c r="E16" s="190"/>
      <c r="F16" s="231">
        <v>447</v>
      </c>
      <c r="G16" s="232">
        <v>455</v>
      </c>
      <c r="H16" s="232">
        <v>448</v>
      </c>
      <c r="I16" s="312">
        <v>457</v>
      </c>
      <c r="J16" s="65">
        <f t="shared" si="1"/>
        <v>1.7897091722595126E-2</v>
      </c>
      <c r="K16" s="66">
        <f t="shared" si="1"/>
        <v>-1.538461538461533E-2</v>
      </c>
      <c r="L16" s="67">
        <f t="shared" si="1"/>
        <v>2.0089285714285809E-2</v>
      </c>
      <c r="N16" s="231"/>
      <c r="O16" s="232"/>
      <c r="P16" s="232"/>
      <c r="Q16" s="312"/>
      <c r="R16" s="65" t="str">
        <f t="shared" si="2"/>
        <v/>
      </c>
      <c r="S16" s="66" t="str">
        <f t="shared" si="2"/>
        <v/>
      </c>
      <c r="T16" s="67" t="str">
        <f t="shared" si="2"/>
        <v/>
      </c>
      <c r="V16" s="233">
        <f t="shared" ref="V16:V21" si="5">+F16+N16</f>
        <v>447</v>
      </c>
      <c r="W16" s="234">
        <f t="shared" si="3"/>
        <v>455</v>
      </c>
      <c r="X16" s="234">
        <f t="shared" si="3"/>
        <v>448</v>
      </c>
      <c r="Y16" s="235">
        <f t="shared" si="3"/>
        <v>457</v>
      </c>
      <c r="Z16" s="68">
        <f t="shared" si="4"/>
        <v>1.7897091722595126E-2</v>
      </c>
      <c r="AA16" s="69">
        <f t="shared" si="4"/>
        <v>-1.538461538461533E-2</v>
      </c>
      <c r="AB16" s="70">
        <f t="shared" si="4"/>
        <v>2.0089285714285809E-2</v>
      </c>
      <c r="AD16" s="181"/>
      <c r="AE16" s="249"/>
      <c r="AF16" s="249"/>
      <c r="AG16" s="249"/>
      <c r="AH16" s="249"/>
      <c r="AI16" s="181"/>
      <c r="AJ16" s="181"/>
      <c r="AK16" s="181"/>
      <c r="AL16" s="181"/>
      <c r="AM16" s="181"/>
    </row>
    <row r="17" spans="1:39" ht="24.75" customHeight="1" x14ac:dyDescent="0.25">
      <c r="A17" s="224"/>
      <c r="B17" s="224"/>
      <c r="C17" s="236" t="s">
        <v>3</v>
      </c>
      <c r="D17" s="186"/>
      <c r="E17" s="190"/>
      <c r="F17" s="218">
        <f>+F15+F16</f>
        <v>879</v>
      </c>
      <c r="G17" s="219">
        <f>+G15+G16</f>
        <v>908</v>
      </c>
      <c r="H17" s="219">
        <f>+H15+H16</f>
        <v>887</v>
      </c>
      <c r="I17" s="237">
        <f>+I15+I16</f>
        <v>901</v>
      </c>
      <c r="J17" s="68">
        <f t="shared" si="1"/>
        <v>3.2992036405005587E-2</v>
      </c>
      <c r="K17" s="69">
        <f t="shared" si="1"/>
        <v>-2.3127753303964771E-2</v>
      </c>
      <c r="L17" s="70">
        <f t="shared" si="1"/>
        <v>1.5783540022547893E-2</v>
      </c>
      <c r="M17" s="191">
        <f>+M15+M16</f>
        <v>0</v>
      </c>
      <c r="N17" s="218">
        <f>+N15+N16</f>
        <v>0</v>
      </c>
      <c r="O17" s="219">
        <f>+O15+O16</f>
        <v>0</v>
      </c>
      <c r="P17" s="219">
        <f>+P15+P16</f>
        <v>0</v>
      </c>
      <c r="Q17" s="237">
        <f>+Q15+Q16</f>
        <v>0</v>
      </c>
      <c r="R17" s="68" t="str">
        <f t="shared" si="2"/>
        <v/>
      </c>
      <c r="S17" s="69" t="str">
        <f t="shared" si="2"/>
        <v/>
      </c>
      <c r="T17" s="70" t="str">
        <f t="shared" si="2"/>
        <v/>
      </c>
      <c r="U17" s="191"/>
      <c r="V17" s="218">
        <f>+V15+V16</f>
        <v>879</v>
      </c>
      <c r="W17" s="219">
        <f>+W15+W16</f>
        <v>908</v>
      </c>
      <c r="X17" s="219">
        <f>+X15+X16</f>
        <v>887</v>
      </c>
      <c r="Y17" s="237">
        <f>+Y15+Y16</f>
        <v>901</v>
      </c>
      <c r="Z17" s="68">
        <f t="shared" si="4"/>
        <v>3.2992036405005587E-2</v>
      </c>
      <c r="AA17" s="69">
        <f t="shared" si="4"/>
        <v>-2.3127753303964771E-2</v>
      </c>
      <c r="AB17" s="70">
        <f t="shared" si="4"/>
        <v>1.5783540022547893E-2</v>
      </c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</row>
    <row r="18" spans="1:39" ht="24.75" customHeight="1" x14ac:dyDescent="0.25">
      <c r="A18" s="190"/>
      <c r="B18" s="224"/>
      <c r="C18" s="213" t="s">
        <v>9</v>
      </c>
      <c r="D18" s="238" t="s">
        <v>39</v>
      </c>
      <c r="E18" s="190"/>
      <c r="F18" s="214">
        <v>4</v>
      </c>
      <c r="G18" s="215">
        <v>4</v>
      </c>
      <c r="H18" s="215">
        <v>4</v>
      </c>
      <c r="I18" s="309">
        <v>4</v>
      </c>
      <c r="J18" s="59">
        <f t="shared" si="1"/>
        <v>0</v>
      </c>
      <c r="K18" s="60">
        <f t="shared" si="1"/>
        <v>0</v>
      </c>
      <c r="L18" s="61">
        <f t="shared" si="1"/>
        <v>0</v>
      </c>
      <c r="N18" s="214"/>
      <c r="O18" s="215"/>
      <c r="P18" s="215"/>
      <c r="Q18" s="309"/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246">
        <f t="shared" si="5"/>
        <v>4</v>
      </c>
      <c r="W18" s="247">
        <f t="shared" si="3"/>
        <v>4</v>
      </c>
      <c r="X18" s="247">
        <f t="shared" si="3"/>
        <v>4</v>
      </c>
      <c r="Y18" s="248">
        <f t="shared" si="3"/>
        <v>4</v>
      </c>
      <c r="Z18" s="59">
        <f t="shared" si="4"/>
        <v>0</v>
      </c>
      <c r="AA18" s="60">
        <f t="shared" si="4"/>
        <v>0</v>
      </c>
      <c r="AB18" s="61">
        <f t="shared" si="4"/>
        <v>0</v>
      </c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</row>
    <row r="19" spans="1:39" ht="24.75" customHeight="1" x14ac:dyDescent="0.25">
      <c r="A19" s="190"/>
      <c r="B19" s="224"/>
      <c r="C19" s="250"/>
      <c r="D19" s="238" t="s">
        <v>40</v>
      </c>
      <c r="E19" s="190"/>
      <c r="F19" s="258"/>
      <c r="G19" s="259"/>
      <c r="H19" s="259"/>
      <c r="I19" s="260"/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258"/>
      <c r="O19" s="259"/>
      <c r="P19" s="259"/>
      <c r="Q19" s="260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254">
        <f t="shared" si="5"/>
        <v>0</v>
      </c>
      <c r="W19" s="255">
        <f t="shared" si="3"/>
        <v>0</v>
      </c>
      <c r="X19" s="255">
        <f t="shared" si="3"/>
        <v>0</v>
      </c>
      <c r="Y19" s="256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</row>
    <row r="20" spans="1:39" ht="24.75" customHeight="1" x14ac:dyDescent="0.25">
      <c r="A20" s="190"/>
      <c r="B20" s="224"/>
      <c r="C20" s="213" t="s">
        <v>10</v>
      </c>
      <c r="D20" s="238" t="s">
        <v>39</v>
      </c>
      <c r="E20" s="190"/>
      <c r="F20" s="214">
        <v>1</v>
      </c>
      <c r="G20" s="215">
        <v>1</v>
      </c>
      <c r="H20" s="215">
        <v>1</v>
      </c>
      <c r="I20" s="309">
        <v>1</v>
      </c>
      <c r="J20" s="59">
        <f t="shared" si="1"/>
        <v>0</v>
      </c>
      <c r="K20" s="60">
        <f t="shared" si="1"/>
        <v>0</v>
      </c>
      <c r="L20" s="61">
        <f t="shared" si="1"/>
        <v>0</v>
      </c>
      <c r="N20" s="214"/>
      <c r="O20" s="215"/>
      <c r="P20" s="215"/>
      <c r="Q20" s="309"/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246">
        <f t="shared" si="5"/>
        <v>1</v>
      </c>
      <c r="W20" s="247">
        <f t="shared" si="3"/>
        <v>1</v>
      </c>
      <c r="X20" s="247">
        <f t="shared" si="3"/>
        <v>1</v>
      </c>
      <c r="Y20" s="248">
        <f t="shared" si="3"/>
        <v>1</v>
      </c>
      <c r="Z20" s="59">
        <f t="shared" si="4"/>
        <v>0</v>
      </c>
      <c r="AA20" s="60">
        <f t="shared" si="4"/>
        <v>0</v>
      </c>
      <c r="AB20" s="61">
        <f t="shared" si="4"/>
        <v>0</v>
      </c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</row>
    <row r="21" spans="1:39" ht="24.75" customHeight="1" x14ac:dyDescent="0.25">
      <c r="A21" s="190"/>
      <c r="B21" s="224"/>
      <c r="C21" s="213"/>
      <c r="D21" s="238" t="s">
        <v>40</v>
      </c>
      <c r="E21" s="190"/>
      <c r="F21" s="258">
        <v>0</v>
      </c>
      <c r="G21" s="259">
        <v>0</v>
      </c>
      <c r="H21" s="259">
        <v>0</v>
      </c>
      <c r="I21" s="260">
        <v>0</v>
      </c>
      <c r="J21" s="68" t="str">
        <f t="shared" si="1"/>
        <v/>
      </c>
      <c r="K21" s="69" t="str">
        <f t="shared" si="1"/>
        <v/>
      </c>
      <c r="L21" s="70" t="str">
        <f t="shared" si="1"/>
        <v/>
      </c>
      <c r="N21" s="258"/>
      <c r="O21" s="259"/>
      <c r="P21" s="259"/>
      <c r="Q21" s="260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254">
        <f t="shared" si="5"/>
        <v>0</v>
      </c>
      <c r="W21" s="255">
        <f t="shared" si="3"/>
        <v>0</v>
      </c>
      <c r="X21" s="255">
        <f t="shared" si="3"/>
        <v>0</v>
      </c>
      <c r="Y21" s="256">
        <f t="shared" si="3"/>
        <v>0</v>
      </c>
      <c r="Z21" s="68" t="str">
        <f t="shared" si="4"/>
        <v/>
      </c>
      <c r="AA21" s="69" t="str">
        <f t="shared" si="4"/>
        <v/>
      </c>
      <c r="AB21" s="70" t="str">
        <f t="shared" si="4"/>
        <v/>
      </c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</row>
    <row r="22" spans="1:39" ht="24.75" customHeight="1" x14ac:dyDescent="0.25">
      <c r="A22" s="192" t="s">
        <v>14</v>
      </c>
      <c r="B22" s="193"/>
      <c r="C22" s="194"/>
      <c r="D22" s="194"/>
      <c r="E22" s="193"/>
      <c r="F22" s="398">
        <f>$F$7</f>
        <v>2015</v>
      </c>
      <c r="G22" s="393">
        <f>+F22+1</f>
        <v>2016</v>
      </c>
      <c r="H22" s="393">
        <f>+G22+1</f>
        <v>2017</v>
      </c>
      <c r="I22" s="395">
        <f>+H22+1</f>
        <v>2018</v>
      </c>
      <c r="J22" s="197"/>
      <c r="K22" s="198" t="s">
        <v>11</v>
      </c>
      <c r="L22" s="199"/>
      <c r="M22" s="221"/>
      <c r="N22" s="398">
        <f>$F$7</f>
        <v>2015</v>
      </c>
      <c r="O22" s="393">
        <f>+N22+1</f>
        <v>2016</v>
      </c>
      <c r="P22" s="393">
        <f>+O22+1</f>
        <v>2017</v>
      </c>
      <c r="Q22" s="395">
        <f>+P22+1</f>
        <v>2018</v>
      </c>
      <c r="R22" s="197"/>
      <c r="S22" s="198" t="s">
        <v>11</v>
      </c>
      <c r="T22" s="199"/>
      <c r="U22" s="221"/>
      <c r="V22" s="398">
        <f>$F$7</f>
        <v>2015</v>
      </c>
      <c r="W22" s="393">
        <f>+V22+1</f>
        <v>2016</v>
      </c>
      <c r="X22" s="393">
        <f>+W22+1</f>
        <v>2017</v>
      </c>
      <c r="Y22" s="395">
        <f>+X22+1</f>
        <v>2018</v>
      </c>
      <c r="Z22" s="197"/>
      <c r="AA22" s="198" t="s">
        <v>11</v>
      </c>
      <c r="AB22" s="199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</row>
    <row r="23" spans="1:39" ht="24.75" customHeight="1" x14ac:dyDescent="0.25">
      <c r="A23" s="204"/>
      <c r="B23" s="193"/>
      <c r="C23" s="194"/>
      <c r="D23" s="223" t="s">
        <v>26</v>
      </c>
      <c r="E23" s="193"/>
      <c r="F23" s="399"/>
      <c r="G23" s="394"/>
      <c r="H23" s="394"/>
      <c r="I23" s="396"/>
      <c r="J23" s="206" t="str">
        <f>G22&amp;"/"&amp;RIGHT(F22,2)</f>
        <v>2016/15</v>
      </c>
      <c r="K23" s="207" t="str">
        <f>H22&amp;"/"&amp;RIGHT(G22,2)</f>
        <v>2017/16</v>
      </c>
      <c r="L23" s="208" t="str">
        <f>I22&amp;"/"&amp;RIGHT(H22,2)</f>
        <v>2018/17</v>
      </c>
      <c r="M23" s="221"/>
      <c r="N23" s="399"/>
      <c r="O23" s="394"/>
      <c r="P23" s="394"/>
      <c r="Q23" s="396"/>
      <c r="R23" s="206" t="str">
        <f>O22&amp;"/"&amp;RIGHT(N22,2)</f>
        <v>2016/15</v>
      </c>
      <c r="S23" s="207" t="str">
        <f>P22&amp;"/"&amp;RIGHT(O22,2)</f>
        <v>2017/16</v>
      </c>
      <c r="T23" s="208" t="str">
        <f>Q22&amp;"/"&amp;RIGHT(P22,2)</f>
        <v>2018/17</v>
      </c>
      <c r="U23" s="221"/>
      <c r="V23" s="399"/>
      <c r="W23" s="394"/>
      <c r="X23" s="394"/>
      <c r="Y23" s="396"/>
      <c r="Z23" s="206" t="str">
        <f>W22&amp;"/"&amp;RIGHT(V22,2)</f>
        <v>2016/15</v>
      </c>
      <c r="AA23" s="207" t="str">
        <f>X22&amp;"/"&amp;RIGHT(W22,2)</f>
        <v>2017/16</v>
      </c>
      <c r="AB23" s="208" t="str">
        <f>Y22&amp;"/"&amp;RIGHT(X22,2)</f>
        <v>2018/17</v>
      </c>
      <c r="AC23" s="186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</row>
    <row r="24" spans="1:39" ht="24.75" customHeight="1" x14ac:dyDescent="0.25">
      <c r="A24" s="224"/>
      <c r="B24" s="224"/>
      <c r="C24" s="186" t="s">
        <v>1</v>
      </c>
      <c r="D24" s="186"/>
      <c r="E24" s="190"/>
      <c r="F24" s="225">
        <v>433.5</v>
      </c>
      <c r="G24" s="226">
        <v>454.5</v>
      </c>
      <c r="H24" s="226">
        <v>440.5</v>
      </c>
      <c r="I24" s="257">
        <v>445.5</v>
      </c>
      <c r="J24" s="59">
        <f t="shared" ref="J24:L30" si="6">IF(OR(G24=0,F24=0),"",G24/F24-1)</f>
        <v>4.844290657439454E-2</v>
      </c>
      <c r="K24" s="60">
        <f t="shared" si="6"/>
        <v>-3.0803080308030806E-2</v>
      </c>
      <c r="L24" s="61">
        <f t="shared" si="6"/>
        <v>1.1350737797956922E-2</v>
      </c>
      <c r="N24" s="225"/>
      <c r="O24" s="226"/>
      <c r="P24" s="226"/>
      <c r="Q24" s="257"/>
      <c r="R24" s="59" t="str">
        <f t="shared" ref="R24:T30" si="7">IF(OR(O24=0,N24=0),"",O24/N24-1)</f>
        <v/>
      </c>
      <c r="S24" s="60" t="str">
        <f t="shared" si="7"/>
        <v/>
      </c>
      <c r="T24" s="61" t="str">
        <f t="shared" si="7"/>
        <v/>
      </c>
      <c r="V24" s="227">
        <f t="shared" ref="V24:Y30" si="8">+F24+N24</f>
        <v>433.5</v>
      </c>
      <c r="W24" s="228">
        <f t="shared" si="8"/>
        <v>454.5</v>
      </c>
      <c r="X24" s="228">
        <f t="shared" si="8"/>
        <v>440.5</v>
      </c>
      <c r="Y24" s="229">
        <f t="shared" si="8"/>
        <v>445.5</v>
      </c>
      <c r="Z24" s="59">
        <f t="shared" ref="Z24:AB30" si="9">IF(OR(W24=0,V24=0),"",W24/V24-1)</f>
        <v>4.844290657439454E-2</v>
      </c>
      <c r="AA24" s="60">
        <f t="shared" si="9"/>
        <v>-3.0803080308030806E-2</v>
      </c>
      <c r="AB24" s="61">
        <f t="shared" si="9"/>
        <v>1.1350737797956922E-2</v>
      </c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</row>
    <row r="25" spans="1:39" ht="24.75" customHeight="1" x14ac:dyDescent="0.25">
      <c r="A25" s="224"/>
      <c r="B25" s="224"/>
      <c r="C25" s="230" t="s">
        <v>2</v>
      </c>
      <c r="D25" s="230"/>
      <c r="E25" s="190"/>
      <c r="F25" s="231">
        <v>448.5</v>
      </c>
      <c r="G25" s="232">
        <v>456.5</v>
      </c>
      <c r="H25" s="232">
        <v>449.5</v>
      </c>
      <c r="I25" s="312">
        <v>458.5</v>
      </c>
      <c r="J25" s="68">
        <f t="shared" si="6"/>
        <v>1.7837235228539638E-2</v>
      </c>
      <c r="K25" s="69">
        <f t="shared" si="6"/>
        <v>-1.533406352683464E-2</v>
      </c>
      <c r="L25" s="70">
        <f t="shared" si="6"/>
        <v>2.0022246941045596E-2</v>
      </c>
      <c r="N25" s="231"/>
      <c r="O25" s="232"/>
      <c r="P25" s="232"/>
      <c r="Q25" s="312"/>
      <c r="R25" s="68" t="str">
        <f t="shared" si="7"/>
        <v/>
      </c>
      <c r="S25" s="69" t="str">
        <f t="shared" si="7"/>
        <v/>
      </c>
      <c r="T25" s="70" t="str">
        <f t="shared" si="7"/>
        <v/>
      </c>
      <c r="V25" s="233">
        <f t="shared" si="8"/>
        <v>448.5</v>
      </c>
      <c r="W25" s="234">
        <f t="shared" si="8"/>
        <v>456.5</v>
      </c>
      <c r="X25" s="234">
        <f t="shared" si="8"/>
        <v>449.5</v>
      </c>
      <c r="Y25" s="235">
        <f t="shared" si="8"/>
        <v>458.5</v>
      </c>
      <c r="Z25" s="68">
        <f t="shared" si="9"/>
        <v>1.7837235228539638E-2</v>
      </c>
      <c r="AA25" s="69">
        <f t="shared" si="9"/>
        <v>-1.533406352683464E-2</v>
      </c>
      <c r="AB25" s="70">
        <f t="shared" si="9"/>
        <v>2.0022246941045596E-2</v>
      </c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</row>
    <row r="26" spans="1:39" ht="24.75" customHeight="1" x14ac:dyDescent="0.25">
      <c r="A26" s="224"/>
      <c r="B26" s="224"/>
      <c r="C26" s="236" t="s">
        <v>3</v>
      </c>
      <c r="D26" s="186"/>
      <c r="E26" s="190"/>
      <c r="F26" s="218">
        <f>+F24+F25</f>
        <v>882</v>
      </c>
      <c r="G26" s="219">
        <f>+G24+G25</f>
        <v>911</v>
      </c>
      <c r="H26" s="219">
        <f>+H24+H25</f>
        <v>890</v>
      </c>
      <c r="I26" s="237">
        <f>+I24+I25</f>
        <v>904</v>
      </c>
      <c r="J26" s="68">
        <f t="shared" si="6"/>
        <v>3.2879818594104382E-2</v>
      </c>
      <c r="K26" s="69">
        <f t="shared" si="6"/>
        <v>-2.3051591657519244E-2</v>
      </c>
      <c r="L26" s="70">
        <f t="shared" si="6"/>
        <v>1.5730337078651679E-2</v>
      </c>
      <c r="M26" s="191"/>
      <c r="N26" s="218">
        <f>+N24+N25</f>
        <v>0</v>
      </c>
      <c r="O26" s="219">
        <f>+O24+O25</f>
        <v>0</v>
      </c>
      <c r="P26" s="219">
        <f>+P24+P25</f>
        <v>0</v>
      </c>
      <c r="Q26" s="237">
        <f>+Q24+Q25</f>
        <v>0</v>
      </c>
      <c r="R26" s="68" t="str">
        <f t="shared" si="7"/>
        <v/>
      </c>
      <c r="S26" s="69" t="str">
        <f t="shared" si="7"/>
        <v/>
      </c>
      <c r="T26" s="70" t="str">
        <f t="shared" si="7"/>
        <v/>
      </c>
      <c r="U26" s="191"/>
      <c r="V26" s="218">
        <f>+V24+V25</f>
        <v>882</v>
      </c>
      <c r="W26" s="219">
        <f>+W24+W25</f>
        <v>911</v>
      </c>
      <c r="X26" s="219">
        <f>+X24+X25</f>
        <v>890</v>
      </c>
      <c r="Y26" s="237">
        <f>+Y24+Y25</f>
        <v>904</v>
      </c>
      <c r="Z26" s="68">
        <f t="shared" si="9"/>
        <v>3.2879818594104382E-2</v>
      </c>
      <c r="AA26" s="69">
        <f t="shared" si="9"/>
        <v>-2.3051591657519244E-2</v>
      </c>
      <c r="AB26" s="70">
        <f t="shared" si="9"/>
        <v>1.5730337078651679E-2</v>
      </c>
      <c r="AD26" s="181"/>
      <c r="AE26" s="181"/>
      <c r="AF26" s="181"/>
      <c r="AG26" s="181"/>
      <c r="AH26" s="181"/>
      <c r="AI26" s="181"/>
      <c r="AJ26" s="181"/>
      <c r="AK26" s="181"/>
      <c r="AL26" s="181"/>
      <c r="AM26" s="181"/>
    </row>
    <row r="27" spans="1:39" ht="24.75" customHeight="1" x14ac:dyDescent="0.25">
      <c r="A27" s="190"/>
      <c r="B27" s="224"/>
      <c r="C27" s="213" t="s">
        <v>4</v>
      </c>
      <c r="D27" s="238" t="s">
        <v>39</v>
      </c>
      <c r="E27" s="190"/>
      <c r="F27" s="214">
        <v>430</v>
      </c>
      <c r="G27" s="215">
        <v>426</v>
      </c>
      <c r="H27" s="215">
        <v>426</v>
      </c>
      <c r="I27" s="309">
        <v>423</v>
      </c>
      <c r="J27" s="59">
        <f t="shared" si="6"/>
        <v>-9.302325581395321E-3</v>
      </c>
      <c r="K27" s="60">
        <f t="shared" si="6"/>
        <v>0</v>
      </c>
      <c r="L27" s="61">
        <f t="shared" si="6"/>
        <v>-7.0422535211267512E-3</v>
      </c>
      <c r="N27" s="214"/>
      <c r="O27" s="215"/>
      <c r="P27" s="215"/>
      <c r="Q27" s="309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246">
        <f t="shared" si="8"/>
        <v>430</v>
      </c>
      <c r="W27" s="247">
        <f t="shared" si="8"/>
        <v>426</v>
      </c>
      <c r="X27" s="247">
        <f t="shared" si="8"/>
        <v>426</v>
      </c>
      <c r="Y27" s="248">
        <f t="shared" si="8"/>
        <v>423</v>
      </c>
      <c r="Z27" s="59">
        <f t="shared" si="9"/>
        <v>-9.302325581395321E-3</v>
      </c>
      <c r="AA27" s="60">
        <f t="shared" si="9"/>
        <v>0</v>
      </c>
      <c r="AB27" s="61">
        <f t="shared" si="9"/>
        <v>-7.0422535211267512E-3</v>
      </c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</row>
    <row r="28" spans="1:39" ht="24.75" customHeight="1" x14ac:dyDescent="0.25">
      <c r="A28" s="190"/>
      <c r="B28" s="224"/>
      <c r="C28" s="213"/>
      <c r="D28" s="238" t="s">
        <v>40</v>
      </c>
      <c r="E28" s="190"/>
      <c r="F28" s="258">
        <v>2</v>
      </c>
      <c r="G28" s="259">
        <v>2</v>
      </c>
      <c r="H28" s="259">
        <v>2</v>
      </c>
      <c r="I28" s="260">
        <v>2</v>
      </c>
      <c r="J28" s="68">
        <f t="shared" si="6"/>
        <v>0</v>
      </c>
      <c r="K28" s="69">
        <f t="shared" si="6"/>
        <v>0</v>
      </c>
      <c r="L28" s="70">
        <f t="shared" si="6"/>
        <v>0</v>
      </c>
      <c r="N28" s="258"/>
      <c r="O28" s="259"/>
      <c r="P28" s="259"/>
      <c r="Q28" s="260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254">
        <f t="shared" si="8"/>
        <v>2</v>
      </c>
      <c r="W28" s="255">
        <f t="shared" si="8"/>
        <v>2</v>
      </c>
      <c r="X28" s="255">
        <f t="shared" si="8"/>
        <v>2</v>
      </c>
      <c r="Y28" s="256">
        <f t="shared" si="8"/>
        <v>2</v>
      </c>
      <c r="Z28" s="68">
        <f t="shared" si="9"/>
        <v>0</v>
      </c>
      <c r="AA28" s="69">
        <f t="shared" si="9"/>
        <v>0</v>
      </c>
      <c r="AB28" s="70">
        <f t="shared" si="9"/>
        <v>0</v>
      </c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</row>
    <row r="29" spans="1:39" ht="24.75" customHeight="1" x14ac:dyDescent="0.25">
      <c r="A29" s="190"/>
      <c r="B29" s="224"/>
      <c r="C29" s="213" t="s">
        <v>5</v>
      </c>
      <c r="D29" s="238" t="s">
        <v>39</v>
      </c>
      <c r="E29" s="190"/>
      <c r="F29" s="214">
        <v>132</v>
      </c>
      <c r="G29" s="215">
        <v>143</v>
      </c>
      <c r="H29" s="215">
        <v>135</v>
      </c>
      <c r="I29" s="309">
        <v>150</v>
      </c>
      <c r="J29" s="59">
        <f t="shared" si="6"/>
        <v>8.3333333333333259E-2</v>
      </c>
      <c r="K29" s="60">
        <f t="shared" si="6"/>
        <v>-5.5944055944055937E-2</v>
      </c>
      <c r="L29" s="61">
        <f t="shared" si="6"/>
        <v>0.11111111111111116</v>
      </c>
      <c r="N29" s="214"/>
      <c r="O29" s="215"/>
      <c r="P29" s="215"/>
      <c r="Q29" s="309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246">
        <f t="shared" si="8"/>
        <v>132</v>
      </c>
      <c r="W29" s="247">
        <f t="shared" si="8"/>
        <v>143</v>
      </c>
      <c r="X29" s="247">
        <f t="shared" si="8"/>
        <v>135</v>
      </c>
      <c r="Y29" s="248">
        <f t="shared" si="8"/>
        <v>150</v>
      </c>
      <c r="Z29" s="59">
        <f t="shared" si="9"/>
        <v>8.3333333333333259E-2</v>
      </c>
      <c r="AA29" s="60">
        <f t="shared" si="9"/>
        <v>-5.5944055944055937E-2</v>
      </c>
      <c r="AB29" s="61">
        <f t="shared" si="9"/>
        <v>0.11111111111111116</v>
      </c>
      <c r="AD29" s="181"/>
      <c r="AE29" s="181"/>
      <c r="AF29" s="181"/>
      <c r="AG29" s="181"/>
      <c r="AH29" s="181"/>
      <c r="AI29" s="181"/>
      <c r="AJ29" s="181"/>
      <c r="AK29" s="181"/>
      <c r="AL29" s="181"/>
      <c r="AM29" s="181"/>
    </row>
    <row r="30" spans="1:39" ht="24.75" customHeight="1" x14ac:dyDescent="0.25">
      <c r="A30" s="261"/>
      <c r="B30" s="224"/>
      <c r="C30" s="213"/>
      <c r="D30" s="238" t="s">
        <v>40</v>
      </c>
      <c r="E30" s="190"/>
      <c r="F30" s="258">
        <v>2</v>
      </c>
      <c r="G30" s="259">
        <v>2</v>
      </c>
      <c r="H30" s="259">
        <v>2</v>
      </c>
      <c r="I30" s="260">
        <v>2</v>
      </c>
      <c r="J30" s="68">
        <f t="shared" si="6"/>
        <v>0</v>
      </c>
      <c r="K30" s="69">
        <f t="shared" si="6"/>
        <v>0</v>
      </c>
      <c r="L30" s="70">
        <f t="shared" si="6"/>
        <v>0</v>
      </c>
      <c r="N30" s="258"/>
      <c r="O30" s="259"/>
      <c r="P30" s="259"/>
      <c r="Q30" s="260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254">
        <f t="shared" si="8"/>
        <v>2</v>
      </c>
      <c r="W30" s="255">
        <f t="shared" si="8"/>
        <v>2</v>
      </c>
      <c r="X30" s="255">
        <f t="shared" si="8"/>
        <v>2</v>
      </c>
      <c r="Y30" s="256">
        <f t="shared" si="8"/>
        <v>2</v>
      </c>
      <c r="Z30" s="65">
        <f t="shared" si="9"/>
        <v>0</v>
      </c>
      <c r="AA30" s="66">
        <f t="shared" si="9"/>
        <v>0</v>
      </c>
      <c r="AB30" s="67">
        <f t="shared" si="9"/>
        <v>0</v>
      </c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</row>
    <row r="31" spans="1:39" ht="24.75" customHeight="1" x14ac:dyDescent="0.25">
      <c r="A31" s="192" t="s">
        <v>17</v>
      </c>
      <c r="B31" s="193"/>
      <c r="C31" s="194"/>
      <c r="D31" s="194"/>
      <c r="E31" s="193"/>
      <c r="F31" s="398">
        <f>$F$7</f>
        <v>2015</v>
      </c>
      <c r="G31" s="393">
        <f>+F31+1</f>
        <v>2016</v>
      </c>
      <c r="H31" s="393">
        <f>+G31+1</f>
        <v>2017</v>
      </c>
      <c r="I31" s="395">
        <f>+H31+1</f>
        <v>2018</v>
      </c>
      <c r="J31" s="197"/>
      <c r="K31" s="198" t="s">
        <v>11</v>
      </c>
      <c r="L31" s="199"/>
      <c r="M31" s="221"/>
      <c r="N31" s="398">
        <f>$F$7</f>
        <v>2015</v>
      </c>
      <c r="O31" s="393">
        <f>+N31+1</f>
        <v>2016</v>
      </c>
      <c r="P31" s="393">
        <f>+O31+1</f>
        <v>2017</v>
      </c>
      <c r="Q31" s="395">
        <f>+P31+1</f>
        <v>2018</v>
      </c>
      <c r="R31" s="197"/>
      <c r="S31" s="198" t="s">
        <v>11</v>
      </c>
      <c r="T31" s="199"/>
      <c r="U31" s="221"/>
      <c r="V31" s="398">
        <f>$F$7</f>
        <v>2015</v>
      </c>
      <c r="W31" s="393">
        <f>+V31+1</f>
        <v>2016</v>
      </c>
      <c r="X31" s="393">
        <f>+W31+1</f>
        <v>2017</v>
      </c>
      <c r="Y31" s="395">
        <f>+X31+1</f>
        <v>2018</v>
      </c>
      <c r="Z31" s="197"/>
      <c r="AA31" s="198" t="s">
        <v>11</v>
      </c>
      <c r="AB31" s="199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</row>
    <row r="32" spans="1:39" ht="24.75" customHeight="1" x14ac:dyDescent="0.25">
      <c r="A32" s="204"/>
      <c r="B32" s="193"/>
      <c r="C32" s="194"/>
      <c r="D32" s="194"/>
      <c r="E32" s="193"/>
      <c r="F32" s="399"/>
      <c r="G32" s="394"/>
      <c r="H32" s="394"/>
      <c r="I32" s="396"/>
      <c r="J32" s="206" t="str">
        <f>G31&amp;"/"&amp;RIGHT(F31,2)</f>
        <v>2016/15</v>
      </c>
      <c r="K32" s="207" t="str">
        <f>H31&amp;"/"&amp;RIGHT(G31,2)</f>
        <v>2017/16</v>
      </c>
      <c r="L32" s="208" t="str">
        <f>I31&amp;"/"&amp;RIGHT(H31,2)</f>
        <v>2018/17</v>
      </c>
      <c r="M32" s="221"/>
      <c r="N32" s="399"/>
      <c r="O32" s="394"/>
      <c r="P32" s="394"/>
      <c r="Q32" s="396"/>
      <c r="R32" s="206" t="str">
        <f>O31&amp;"/"&amp;RIGHT(N31,2)</f>
        <v>2016/15</v>
      </c>
      <c r="S32" s="207" t="str">
        <f>P31&amp;"/"&amp;RIGHT(O31,2)</f>
        <v>2017/16</v>
      </c>
      <c r="T32" s="208" t="str">
        <f>Q31&amp;"/"&amp;RIGHT(P31,2)</f>
        <v>2018/17</v>
      </c>
      <c r="U32" s="221"/>
      <c r="V32" s="399"/>
      <c r="W32" s="394"/>
      <c r="X32" s="394"/>
      <c r="Y32" s="396"/>
      <c r="Z32" s="206" t="str">
        <f>W31&amp;"/"&amp;RIGHT(V31,2)</f>
        <v>2016/15</v>
      </c>
      <c r="AA32" s="207" t="str">
        <f>X31&amp;"/"&amp;RIGHT(W31,2)</f>
        <v>2017/16</v>
      </c>
      <c r="AB32" s="208" t="str">
        <f>Y31&amp;"/"&amp;RIGHT(X31,2)</f>
        <v>2018/17</v>
      </c>
      <c r="AC32" s="190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</row>
    <row r="33" spans="1:39" ht="24.75" customHeight="1" x14ac:dyDescent="0.25">
      <c r="A33" s="224"/>
      <c r="B33" s="190"/>
      <c r="C33" s="186" t="s">
        <v>1</v>
      </c>
      <c r="D33" s="186"/>
      <c r="E33" s="190"/>
      <c r="F33" s="225">
        <v>591.5</v>
      </c>
      <c r="G33" s="226">
        <v>597.4</v>
      </c>
      <c r="H33" s="226">
        <v>603.37400000000002</v>
      </c>
      <c r="I33" s="257">
        <v>609.40773999999999</v>
      </c>
      <c r="J33" s="62">
        <f t="shared" ref="J33:L36" si="10">IF(OR(G33=0,F33=0),"",G33/F33-1)</f>
        <v>9.9746407438714435E-3</v>
      </c>
      <c r="K33" s="63">
        <f t="shared" si="10"/>
        <v>1.0000000000000009E-2</v>
      </c>
      <c r="L33" s="64">
        <f t="shared" si="10"/>
        <v>1.0000000000000009E-2</v>
      </c>
      <c r="N33" s="225"/>
      <c r="O33" s="226"/>
      <c r="P33" s="226"/>
      <c r="Q33" s="257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227">
        <f t="shared" ref="V33:Y34" si="12">+F33+N33</f>
        <v>591.5</v>
      </c>
      <c r="W33" s="228">
        <f t="shared" si="12"/>
        <v>597.4</v>
      </c>
      <c r="X33" s="228">
        <f t="shared" si="12"/>
        <v>603.37400000000002</v>
      </c>
      <c r="Y33" s="229">
        <f t="shared" si="12"/>
        <v>609.40773999999999</v>
      </c>
      <c r="Z33" s="62">
        <f t="shared" ref="Z33:AB36" si="13">IF(OR(W33=0,V33=0),"",W33/V33-1)</f>
        <v>9.9746407438714435E-3</v>
      </c>
      <c r="AA33" s="63">
        <f t="shared" si="13"/>
        <v>1.0000000000000009E-2</v>
      </c>
      <c r="AB33" s="64">
        <f t="shared" si="13"/>
        <v>1.0000000000000009E-2</v>
      </c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</row>
    <row r="34" spans="1:39" ht="24.75" customHeight="1" x14ac:dyDescent="0.25">
      <c r="A34" s="224"/>
      <c r="B34" s="190"/>
      <c r="C34" s="230" t="s">
        <v>2</v>
      </c>
      <c r="D34" s="230"/>
      <c r="E34" s="190"/>
      <c r="F34" s="231">
        <v>591.5</v>
      </c>
      <c r="G34" s="232">
        <v>597.4</v>
      </c>
      <c r="H34" s="232">
        <v>603.37400000000002</v>
      </c>
      <c r="I34" s="312">
        <v>609.40773999999999</v>
      </c>
      <c r="J34" s="65">
        <f t="shared" si="10"/>
        <v>9.9746407438714435E-3</v>
      </c>
      <c r="K34" s="66">
        <f t="shared" si="10"/>
        <v>1.0000000000000009E-2</v>
      </c>
      <c r="L34" s="67">
        <f t="shared" si="10"/>
        <v>1.0000000000000009E-2</v>
      </c>
      <c r="N34" s="231"/>
      <c r="O34" s="232"/>
      <c r="P34" s="232"/>
      <c r="Q34" s="312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233">
        <f t="shared" si="12"/>
        <v>591.5</v>
      </c>
      <c r="W34" s="234">
        <f t="shared" si="12"/>
        <v>597.4</v>
      </c>
      <c r="X34" s="234">
        <f t="shared" si="12"/>
        <v>603.37400000000002</v>
      </c>
      <c r="Y34" s="235">
        <f t="shared" si="12"/>
        <v>609.40773999999999</v>
      </c>
      <c r="Z34" s="65">
        <f t="shared" si="13"/>
        <v>9.9746407438714435E-3</v>
      </c>
      <c r="AA34" s="66">
        <f t="shared" si="13"/>
        <v>1.0000000000000009E-2</v>
      </c>
      <c r="AB34" s="67">
        <f t="shared" si="13"/>
        <v>1.0000000000000009E-2</v>
      </c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</row>
    <row r="35" spans="1:39" ht="24.75" customHeight="1" x14ac:dyDescent="0.25">
      <c r="A35" s="224"/>
      <c r="B35" s="190"/>
      <c r="C35" s="236" t="s">
        <v>3</v>
      </c>
      <c r="D35" s="186"/>
      <c r="E35" s="190"/>
      <c r="F35" s="218">
        <f>+F33+F34</f>
        <v>1183</v>
      </c>
      <c r="G35" s="219">
        <f>+G33+G34</f>
        <v>1194.8</v>
      </c>
      <c r="H35" s="219">
        <f>+H33+H34</f>
        <v>1206.748</v>
      </c>
      <c r="I35" s="237">
        <f>+I33+I34</f>
        <v>1218.81548</v>
      </c>
      <c r="J35" s="68">
        <f t="shared" si="10"/>
        <v>9.9746407438714435E-3</v>
      </c>
      <c r="K35" s="69">
        <f t="shared" si="10"/>
        <v>1.0000000000000009E-2</v>
      </c>
      <c r="L35" s="70">
        <f t="shared" si="10"/>
        <v>1.0000000000000009E-2</v>
      </c>
      <c r="M35" s="191"/>
      <c r="N35" s="218">
        <f>+N33+N34</f>
        <v>0</v>
      </c>
      <c r="O35" s="219">
        <f>+O33+O34</f>
        <v>0</v>
      </c>
      <c r="P35" s="219">
        <f>+P33+P34</f>
        <v>0</v>
      </c>
      <c r="Q35" s="237">
        <f>+Q33+Q34</f>
        <v>0</v>
      </c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191"/>
      <c r="V35" s="218">
        <f>+V33+V34</f>
        <v>1183</v>
      </c>
      <c r="W35" s="219">
        <f>+W33+W34</f>
        <v>1194.8</v>
      </c>
      <c r="X35" s="219">
        <f>+X33+X34</f>
        <v>1206.748</v>
      </c>
      <c r="Y35" s="237">
        <f>+Y33+Y34</f>
        <v>1218.81548</v>
      </c>
      <c r="Z35" s="68">
        <f t="shared" si="13"/>
        <v>9.9746407438714435E-3</v>
      </c>
      <c r="AA35" s="69">
        <f t="shared" si="13"/>
        <v>1.0000000000000009E-2</v>
      </c>
      <c r="AB35" s="70">
        <f t="shared" si="13"/>
        <v>1.0000000000000009E-2</v>
      </c>
      <c r="AD35" s="181"/>
      <c r="AE35" s="181"/>
      <c r="AF35" s="181"/>
      <c r="AG35" s="181"/>
      <c r="AH35" s="181"/>
      <c r="AI35" s="181"/>
      <c r="AJ35" s="181"/>
      <c r="AK35" s="181"/>
      <c r="AL35" s="181"/>
      <c r="AM35" s="181"/>
    </row>
    <row r="36" spans="1:39" ht="24.75" customHeight="1" x14ac:dyDescent="0.25">
      <c r="A36" s="224"/>
      <c r="C36" s="278" t="s">
        <v>12</v>
      </c>
      <c r="D36" s="52"/>
      <c r="E36" s="11"/>
      <c r="F36" s="258">
        <v>18.2</v>
      </c>
      <c r="G36" s="259">
        <v>18.2</v>
      </c>
      <c r="H36" s="259">
        <v>18</v>
      </c>
      <c r="I36" s="260">
        <v>18</v>
      </c>
      <c r="J36" s="68">
        <f t="shared" si="10"/>
        <v>0</v>
      </c>
      <c r="K36" s="69">
        <f t="shared" si="10"/>
        <v>-1.098901098901095E-2</v>
      </c>
      <c r="L36" s="70">
        <f t="shared" si="10"/>
        <v>0</v>
      </c>
      <c r="N36" s="258"/>
      <c r="O36" s="259"/>
      <c r="P36" s="259"/>
      <c r="Q36" s="260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254">
        <f>+F36+N36</f>
        <v>18.2</v>
      </c>
      <c r="W36" s="255">
        <f>+G36+O36</f>
        <v>18.2</v>
      </c>
      <c r="X36" s="255">
        <f>+H36+P36</f>
        <v>18</v>
      </c>
      <c r="Y36" s="256">
        <f>+I36+Q36</f>
        <v>18</v>
      </c>
      <c r="Z36" s="68">
        <f t="shared" si="13"/>
        <v>0</v>
      </c>
      <c r="AA36" s="69">
        <f t="shared" si="13"/>
        <v>-1.098901098901095E-2</v>
      </c>
      <c r="AB36" s="70">
        <f t="shared" si="13"/>
        <v>0</v>
      </c>
      <c r="AC36" s="52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</row>
    <row r="37" spans="1:39" ht="24.75" customHeight="1" x14ac:dyDescent="0.25">
      <c r="A37" s="224"/>
      <c r="B37" s="279"/>
      <c r="C37" s="278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81"/>
      <c r="AE37" s="181"/>
      <c r="AF37" s="181"/>
      <c r="AG37" s="181"/>
      <c r="AH37" s="181"/>
      <c r="AI37" s="181"/>
      <c r="AJ37" s="181"/>
      <c r="AK37" s="181"/>
      <c r="AL37" s="181"/>
      <c r="AM37" s="181"/>
    </row>
    <row r="38" spans="1:39" ht="24.75" customHeight="1" x14ac:dyDescent="0.25">
      <c r="A38" s="192" t="s">
        <v>13</v>
      </c>
      <c r="B38" s="193"/>
      <c r="C38" s="280"/>
      <c r="D38" s="223" t="s">
        <v>27</v>
      </c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</row>
    <row r="39" spans="1:39" ht="24.75" customHeight="1" x14ac:dyDescent="0.25">
      <c r="A39" s="281"/>
      <c r="B39" s="281"/>
      <c r="C39" s="281"/>
      <c r="D39" s="195" t="s">
        <v>41</v>
      </c>
      <c r="E39" s="221"/>
      <c r="F39" s="397" t="s">
        <v>21</v>
      </c>
      <c r="G39" s="397"/>
      <c r="H39" s="397"/>
      <c r="I39" s="397"/>
      <c r="J39" s="397"/>
      <c r="K39" s="397"/>
      <c r="L39" s="397"/>
      <c r="M39" s="221"/>
      <c r="N39" s="397" t="s">
        <v>20</v>
      </c>
      <c r="O39" s="397"/>
      <c r="P39" s="397"/>
      <c r="Q39" s="397"/>
      <c r="R39" s="397"/>
      <c r="S39" s="397"/>
      <c r="T39" s="397"/>
      <c r="U39" s="221"/>
      <c r="V39" s="221"/>
      <c r="W39" s="221"/>
      <c r="X39" s="221"/>
      <c r="Y39" s="221"/>
      <c r="Z39" s="221"/>
      <c r="AA39" s="221"/>
      <c r="AB39" s="221"/>
    </row>
    <row r="40" spans="1:39" ht="24.75" customHeight="1" x14ac:dyDescent="0.25">
      <c r="A40" s="282"/>
      <c r="B40" s="200"/>
      <c r="C40" s="200"/>
      <c r="D40" s="283"/>
      <c r="E40" s="284"/>
      <c r="F40" s="398">
        <f>$F$7</f>
        <v>2015</v>
      </c>
      <c r="G40" s="393">
        <f>+F40+1</f>
        <v>2016</v>
      </c>
      <c r="H40" s="393">
        <f>+G40+1</f>
        <v>2017</v>
      </c>
      <c r="I40" s="395">
        <f>+H40+1</f>
        <v>2018</v>
      </c>
      <c r="J40" s="197"/>
      <c r="K40" s="198" t="s">
        <v>11</v>
      </c>
      <c r="L40" s="199"/>
      <c r="N40" s="398">
        <f>$F$7</f>
        <v>2015</v>
      </c>
      <c r="O40" s="393">
        <f>+N40+1</f>
        <v>2016</v>
      </c>
      <c r="P40" s="393">
        <f>+O40+1</f>
        <v>2017</v>
      </c>
      <c r="Q40" s="395">
        <f>+P40+1</f>
        <v>2018</v>
      </c>
      <c r="R40" s="197"/>
      <c r="S40" s="198" t="s">
        <v>11</v>
      </c>
      <c r="T40" s="199"/>
    </row>
    <row r="41" spans="1:39" ht="24.75" customHeight="1" x14ac:dyDescent="0.25">
      <c r="A41" s="282"/>
      <c r="B41" s="200"/>
      <c r="C41" s="202"/>
      <c r="D41" s="283"/>
      <c r="E41" s="284"/>
      <c r="F41" s="399"/>
      <c r="G41" s="394"/>
      <c r="H41" s="394"/>
      <c r="I41" s="396"/>
      <c r="J41" s="206" t="str">
        <f>G40&amp;"/"&amp;RIGHT(F40,2)</f>
        <v>2016/15</v>
      </c>
      <c r="K41" s="207" t="str">
        <f>H40&amp;"/"&amp;RIGHT(G40,2)</f>
        <v>2017/16</v>
      </c>
      <c r="L41" s="208" t="str">
        <f>I40&amp;"/"&amp;RIGHT(H40,2)</f>
        <v>2018/17</v>
      </c>
      <c r="N41" s="399"/>
      <c r="O41" s="394"/>
      <c r="P41" s="394"/>
      <c r="Q41" s="396"/>
      <c r="R41" s="206" t="str">
        <f>O40&amp;"/"&amp;RIGHT(N40,2)</f>
        <v>2016/15</v>
      </c>
      <c r="S41" s="207" t="str">
        <f>P40&amp;"/"&amp;RIGHT(O40,2)</f>
        <v>2017/16</v>
      </c>
      <c r="T41" s="208" t="str">
        <f>Q40&amp;"/"&amp;RIGHT(P40,2)</f>
        <v>2018/17</v>
      </c>
    </row>
    <row r="42" spans="1:39" ht="24.75" customHeight="1" x14ac:dyDescent="0.25">
      <c r="A42" s="284"/>
      <c r="B42" s="284"/>
      <c r="C42" s="202" t="s">
        <v>35</v>
      </c>
      <c r="D42" s="284"/>
      <c r="E42" s="284"/>
      <c r="F42" s="285">
        <v>350.7</v>
      </c>
      <c r="G42" s="286">
        <v>326.60000000000002</v>
      </c>
      <c r="H42" s="286">
        <v>360</v>
      </c>
      <c r="I42" s="319">
        <v>360</v>
      </c>
      <c r="J42" s="62">
        <f t="shared" ref="J42:L44" si="14">IF(OR(G42=0,F42=0),"",G42/F42-1)</f>
        <v>-6.8719703450242253E-2</v>
      </c>
      <c r="K42" s="63">
        <f t="shared" si="14"/>
        <v>0.10226576852418856</v>
      </c>
      <c r="L42" s="64">
        <f t="shared" si="14"/>
        <v>0</v>
      </c>
      <c r="N42" s="285"/>
      <c r="O42" s="286"/>
      <c r="P42" s="286"/>
      <c r="Q42" s="319"/>
      <c r="R42" s="62" t="str">
        <f t="shared" ref="R42:T44" si="15">IF(OR(O42=0,N42=0),"",O42/N42-1)</f>
        <v/>
      </c>
      <c r="S42" s="63" t="str">
        <f t="shared" si="15"/>
        <v/>
      </c>
      <c r="T42" s="64" t="str">
        <f t="shared" si="15"/>
        <v/>
      </c>
      <c r="AG42" s="290"/>
      <c r="AJ42" s="190"/>
    </row>
    <row r="43" spans="1:39" ht="24.75" customHeight="1" x14ac:dyDescent="0.25">
      <c r="A43" s="284"/>
      <c r="B43" s="284"/>
      <c r="C43" s="291" t="s">
        <v>36</v>
      </c>
      <c r="D43" s="230"/>
      <c r="E43" s="284"/>
      <c r="F43" s="292">
        <v>348.2</v>
      </c>
      <c r="G43" s="293">
        <v>353.1</v>
      </c>
      <c r="H43" s="293">
        <v>380</v>
      </c>
      <c r="I43" s="320">
        <v>360</v>
      </c>
      <c r="J43" s="65">
        <f t="shared" si="14"/>
        <v>1.4072372199885219E-2</v>
      </c>
      <c r="K43" s="66">
        <f t="shared" si="14"/>
        <v>7.6182384593599384E-2</v>
      </c>
      <c r="L43" s="67">
        <f t="shared" si="14"/>
        <v>-5.2631578947368474E-2</v>
      </c>
      <c r="N43" s="292"/>
      <c r="O43" s="293"/>
      <c r="P43" s="293"/>
      <c r="Q43" s="320"/>
      <c r="R43" s="65" t="str">
        <f t="shared" si="15"/>
        <v/>
      </c>
      <c r="S43" s="66" t="str">
        <f t="shared" si="15"/>
        <v/>
      </c>
      <c r="T43" s="67" t="str">
        <f t="shared" si="15"/>
        <v/>
      </c>
      <c r="AJ43" s="297"/>
    </row>
    <row r="44" spans="1:39" ht="24.75" customHeight="1" x14ac:dyDescent="0.25">
      <c r="A44" s="200"/>
      <c r="B44" s="200"/>
      <c r="D44" s="298" t="s">
        <v>37</v>
      </c>
      <c r="E44" s="284"/>
      <c r="F44" s="299">
        <f>(F42+F43)/2</f>
        <v>349.45</v>
      </c>
      <c r="G44" s="300">
        <f>(G42+G43)/2</f>
        <v>339.85</v>
      </c>
      <c r="H44" s="300">
        <f>(H42+H43)/2</f>
        <v>370</v>
      </c>
      <c r="I44" s="301">
        <f>(I42+I43)/2</f>
        <v>360</v>
      </c>
      <c r="J44" s="68">
        <f t="shared" si="14"/>
        <v>-2.7471741307769304E-2</v>
      </c>
      <c r="K44" s="69">
        <f t="shared" si="14"/>
        <v>8.8715609827865194E-2</v>
      </c>
      <c r="L44" s="70">
        <f t="shared" si="14"/>
        <v>-2.7027027027026973E-2</v>
      </c>
      <c r="M44" s="191"/>
      <c r="N44" s="299">
        <f>(N42+N43)/2</f>
        <v>0</v>
      </c>
      <c r="O44" s="300">
        <f>(O42+O43)/2</f>
        <v>0</v>
      </c>
      <c r="P44" s="300">
        <f>(P42+P43)/2</f>
        <v>0</v>
      </c>
      <c r="Q44" s="301">
        <f>(Q42+Q43)/2</f>
        <v>0</v>
      </c>
      <c r="R44" s="68" t="str">
        <f t="shared" si="15"/>
        <v/>
      </c>
      <c r="S44" s="69" t="str">
        <f t="shared" si="15"/>
        <v/>
      </c>
      <c r="T44" s="70" t="str">
        <f t="shared" si="15"/>
        <v/>
      </c>
      <c r="AJ44" s="297"/>
    </row>
    <row r="45" spans="1:39" ht="24.75" customHeight="1" x14ac:dyDescent="0.25">
      <c r="A45" s="200"/>
      <c r="B45" s="200"/>
      <c r="C45" s="202"/>
      <c r="D45" s="284"/>
      <c r="E45" s="284"/>
      <c r="F45" s="397" t="s">
        <v>19</v>
      </c>
      <c r="G45" s="397"/>
      <c r="H45" s="397"/>
      <c r="I45" s="397"/>
      <c r="J45" s="397"/>
      <c r="K45" s="397"/>
      <c r="L45" s="397"/>
      <c r="M45" s="191"/>
      <c r="N45" s="397" t="s">
        <v>22</v>
      </c>
      <c r="O45" s="397"/>
      <c r="P45" s="397"/>
      <c r="Q45" s="397"/>
      <c r="R45" s="397"/>
      <c r="S45" s="397"/>
      <c r="T45" s="397"/>
      <c r="AJ45" s="297"/>
    </row>
    <row r="46" spans="1:39" ht="24.75" customHeight="1" x14ac:dyDescent="0.25">
      <c r="A46" s="200"/>
      <c r="B46" s="200"/>
      <c r="C46" s="202"/>
      <c r="D46" s="284"/>
      <c r="E46" s="284"/>
      <c r="F46" s="398">
        <f>$F$7</f>
        <v>2015</v>
      </c>
      <c r="G46" s="393">
        <f>+F46+1</f>
        <v>2016</v>
      </c>
      <c r="H46" s="393">
        <f>+G46+1</f>
        <v>2017</v>
      </c>
      <c r="I46" s="395">
        <f>+H46+1</f>
        <v>2018</v>
      </c>
      <c r="J46" s="197"/>
      <c r="K46" s="198" t="s">
        <v>11</v>
      </c>
      <c r="L46" s="199"/>
      <c r="M46" s="191"/>
      <c r="N46" s="398">
        <f>$F$7</f>
        <v>2015</v>
      </c>
      <c r="O46" s="393">
        <f>+N46+1</f>
        <v>2016</v>
      </c>
      <c r="P46" s="393">
        <f>+O46+1</f>
        <v>2017</v>
      </c>
      <c r="Q46" s="395">
        <f>+P46+1</f>
        <v>2018</v>
      </c>
      <c r="R46" s="197"/>
      <c r="S46" s="198" t="s">
        <v>11</v>
      </c>
      <c r="T46" s="199"/>
      <c r="AJ46" s="297"/>
    </row>
    <row r="47" spans="1:39" ht="24.75" customHeight="1" x14ac:dyDescent="0.25">
      <c r="A47" s="200"/>
      <c r="B47" s="200"/>
      <c r="C47" s="284"/>
      <c r="D47" s="200"/>
      <c r="E47" s="284"/>
      <c r="F47" s="399"/>
      <c r="G47" s="394"/>
      <c r="H47" s="394"/>
      <c r="I47" s="396"/>
      <c r="J47" s="206" t="str">
        <f>G46&amp;"/"&amp;RIGHT(F46,2)</f>
        <v>2016/15</v>
      </c>
      <c r="K47" s="207" t="str">
        <f>H46&amp;"/"&amp;RIGHT(G46,2)</f>
        <v>2017/16</v>
      </c>
      <c r="L47" s="208" t="str">
        <f>I46&amp;"/"&amp;RIGHT(H46,2)</f>
        <v>2018/17</v>
      </c>
      <c r="N47" s="399"/>
      <c r="O47" s="394"/>
      <c r="P47" s="394"/>
      <c r="Q47" s="396"/>
      <c r="R47" s="206" t="str">
        <f>O46&amp;"/"&amp;RIGHT(N46,2)</f>
        <v>2016/15</v>
      </c>
      <c r="S47" s="207" t="str">
        <f>P46&amp;"/"&amp;RIGHT(O46,2)</f>
        <v>2017/16</v>
      </c>
      <c r="T47" s="208" t="str">
        <f>Q46&amp;"/"&amp;RIGHT(P46,2)</f>
        <v>2018/17</v>
      </c>
      <c r="AJ47" s="297"/>
    </row>
    <row r="48" spans="1:39" ht="24.75" customHeight="1" x14ac:dyDescent="0.25">
      <c r="A48" s="284"/>
      <c r="B48" s="302"/>
      <c r="C48" s="202" t="s">
        <v>35</v>
      </c>
      <c r="D48" s="284"/>
      <c r="E48" s="284"/>
      <c r="F48" s="285">
        <v>249.3</v>
      </c>
      <c r="G48" s="286">
        <v>224.1</v>
      </c>
      <c r="H48" s="286">
        <v>259</v>
      </c>
      <c r="I48" s="319">
        <v>260</v>
      </c>
      <c r="J48" s="62">
        <f t="shared" ref="J48:L50" si="16">IF(OR(G48=0,F48=0),"",G48/F48-1)</f>
        <v>-0.10108303249097483</v>
      </c>
      <c r="K48" s="63">
        <f t="shared" si="16"/>
        <v>0.15573404730031237</v>
      </c>
      <c r="L48" s="64">
        <f t="shared" si="16"/>
        <v>3.8610038610038533E-3</v>
      </c>
      <c r="N48" s="285"/>
      <c r="O48" s="286"/>
      <c r="P48" s="286"/>
      <c r="Q48" s="319"/>
      <c r="R48" s="62" t="str">
        <f t="shared" ref="R48:T50" si="17">IF(OR(O48=0,N48=0),"",O48/N48-1)</f>
        <v/>
      </c>
      <c r="S48" s="63" t="str">
        <f t="shared" si="17"/>
        <v/>
      </c>
      <c r="T48" s="64" t="str">
        <f t="shared" si="17"/>
        <v/>
      </c>
      <c r="AF48" s="303"/>
      <c r="AJ48" s="190"/>
    </row>
    <row r="49" spans="1:36" ht="24.75" customHeight="1" x14ac:dyDescent="0.25">
      <c r="A49" s="200"/>
      <c r="B49" s="200"/>
      <c r="C49" s="291" t="s">
        <v>36</v>
      </c>
      <c r="D49" s="230"/>
      <c r="E49" s="284"/>
      <c r="F49" s="292">
        <v>235</v>
      </c>
      <c r="G49" s="293">
        <v>240.1</v>
      </c>
      <c r="H49" s="293">
        <v>280</v>
      </c>
      <c r="I49" s="320">
        <v>260</v>
      </c>
      <c r="J49" s="65">
        <f t="shared" si="16"/>
        <v>2.1702127659574355E-2</v>
      </c>
      <c r="K49" s="66">
        <f t="shared" si="16"/>
        <v>0.16618075801749277</v>
      </c>
      <c r="L49" s="67">
        <f t="shared" si="16"/>
        <v>-7.1428571428571397E-2</v>
      </c>
      <c r="N49" s="292"/>
      <c r="O49" s="293"/>
      <c r="P49" s="293"/>
      <c r="Q49" s="320"/>
      <c r="R49" s="65" t="str">
        <f t="shared" si="17"/>
        <v/>
      </c>
      <c r="S49" s="66" t="str">
        <f t="shared" si="17"/>
        <v/>
      </c>
      <c r="T49" s="67" t="str">
        <f t="shared" si="17"/>
        <v/>
      </c>
      <c r="AH49" s="190"/>
      <c r="AJ49" s="190"/>
    </row>
    <row r="50" spans="1:36" ht="24.75" customHeight="1" x14ac:dyDescent="0.25">
      <c r="A50" s="200"/>
      <c r="B50" s="200"/>
      <c r="D50" s="298" t="s">
        <v>37</v>
      </c>
      <c r="E50" s="284"/>
      <c r="F50" s="299">
        <f>(F48+F49)/2</f>
        <v>242.15</v>
      </c>
      <c r="G50" s="300">
        <f>(G48+G49)/2</f>
        <v>232.1</v>
      </c>
      <c r="H50" s="300">
        <f>(H48+H49)/2</f>
        <v>269.5</v>
      </c>
      <c r="I50" s="301">
        <f>(I48+I49)/2</f>
        <v>260</v>
      </c>
      <c r="J50" s="68">
        <f t="shared" si="16"/>
        <v>-4.1503200495560666E-2</v>
      </c>
      <c r="K50" s="69">
        <f t="shared" si="16"/>
        <v>0.16113744075829395</v>
      </c>
      <c r="L50" s="70">
        <f t="shared" si="16"/>
        <v>-3.5250463821892342E-2</v>
      </c>
      <c r="M50" s="191"/>
      <c r="N50" s="299">
        <f>(N48+N49)/2</f>
        <v>0</v>
      </c>
      <c r="O50" s="300">
        <f>(O48+O49)/2</f>
        <v>0</v>
      </c>
      <c r="P50" s="300">
        <f>(P48+P49)/2</f>
        <v>0</v>
      </c>
      <c r="Q50" s="301">
        <f>(Q48+Q49)/2</f>
        <v>0</v>
      </c>
      <c r="R50" s="68" t="str">
        <f t="shared" si="17"/>
        <v/>
      </c>
      <c r="S50" s="69" t="str">
        <f t="shared" si="17"/>
        <v/>
      </c>
      <c r="T50" s="70" t="str">
        <f t="shared" si="17"/>
        <v/>
      </c>
      <c r="AH50" s="190"/>
      <c r="AJ50" s="304"/>
    </row>
    <row r="51" spans="1:36" ht="24.75" customHeight="1" x14ac:dyDescent="0.25">
      <c r="A51" s="284"/>
      <c r="B51" s="284"/>
      <c r="C51" s="284"/>
      <c r="D51" s="284"/>
      <c r="E51" s="284"/>
      <c r="AC51" s="186"/>
      <c r="AH51" s="186"/>
      <c r="AI51" s="186"/>
      <c r="AJ51" s="186"/>
    </row>
    <row r="52" spans="1:36" ht="24.75" customHeight="1" x14ac:dyDescent="0.25">
      <c r="A52" s="305"/>
      <c r="B52" s="284"/>
      <c r="C52" s="284"/>
      <c r="D52" s="284"/>
      <c r="E52" s="284"/>
      <c r="V52" s="306"/>
      <c r="W52" s="306"/>
      <c r="X52" s="306"/>
      <c r="Y52" s="306"/>
      <c r="Z52" s="17"/>
      <c r="AA52" s="17"/>
      <c r="AB52" s="17"/>
    </row>
    <row r="53" spans="1:36" ht="24.75" customHeight="1" x14ac:dyDescent="0.25">
      <c r="A53" s="303"/>
      <c r="V53" s="306"/>
      <c r="W53" s="306"/>
      <c r="X53" s="306"/>
      <c r="Y53" s="306"/>
      <c r="Z53" s="17"/>
      <c r="AA53" s="17"/>
      <c r="AB53" s="17"/>
    </row>
    <row r="54" spans="1:36" ht="24.75" customHeight="1" x14ac:dyDescent="0.25">
      <c r="A54" s="303"/>
      <c r="U54" s="191"/>
      <c r="V54" s="306"/>
      <c r="W54" s="306"/>
      <c r="X54" s="306"/>
      <c r="Y54" s="306"/>
      <c r="Z54" s="17"/>
      <c r="AA54" s="17"/>
      <c r="AB54" s="17"/>
    </row>
    <row r="55" spans="1:36" ht="24.75" customHeight="1" x14ac:dyDescent="0.25">
      <c r="A55" s="303"/>
      <c r="U55" s="306"/>
      <c r="V55" s="306"/>
      <c r="W55" s="306"/>
      <c r="X55" s="306"/>
      <c r="Y55" s="306"/>
      <c r="Z55" s="17"/>
      <c r="AA55" s="17"/>
      <c r="AB55" s="17"/>
    </row>
    <row r="56" spans="1:36" ht="24.75" customHeight="1" x14ac:dyDescent="0.25">
      <c r="A56" s="307"/>
      <c r="U56" s="191"/>
      <c r="V56" s="306"/>
      <c r="W56" s="306"/>
      <c r="X56" s="306"/>
      <c r="Y56" s="306"/>
      <c r="Z56" s="17"/>
      <c r="AA56" s="17"/>
      <c r="AB56" s="17"/>
    </row>
    <row r="57" spans="1:36" ht="17.25" customHeight="1" x14ac:dyDescent="0.25">
      <c r="A57" s="190"/>
      <c r="B57" s="190"/>
      <c r="C57" s="190"/>
      <c r="D57" s="190"/>
      <c r="E57" s="190"/>
      <c r="V57" s="306"/>
      <c r="W57" s="306"/>
      <c r="X57" s="306"/>
      <c r="Y57" s="306"/>
      <c r="Z57" s="17"/>
      <c r="AA57" s="17"/>
      <c r="AB57" s="17"/>
    </row>
    <row r="58" spans="1:36" ht="17.25" customHeight="1" x14ac:dyDescent="0.25">
      <c r="A58" s="186"/>
      <c r="B58" s="190"/>
      <c r="C58" s="190"/>
      <c r="D58" s="186"/>
      <c r="E58" s="186"/>
    </row>
  </sheetData>
  <mergeCells count="76">
    <mergeCell ref="O40:O41"/>
    <mergeCell ref="P40:P41"/>
    <mergeCell ref="Q40:Q41"/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W31:W32"/>
    <mergeCell ref="X31:X32"/>
    <mergeCell ref="Y31:Y32"/>
    <mergeCell ref="F39:L39"/>
    <mergeCell ref="N39:T39"/>
    <mergeCell ref="F40:F41"/>
    <mergeCell ref="G40:G41"/>
    <mergeCell ref="H40:H41"/>
    <mergeCell ref="I40:I41"/>
    <mergeCell ref="N40:N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F44:T44 F17:AB17 F26:I26 V33:AB33 V36:Y36 F35:AB35 V34:Y34 V30:Y30 V24:Y25 V29:AB29 V27:Y28 V18:Y21 V15:Y16 U26:Y26 M26:Q26">
    <cfRule type="cellIs" dxfId="2" priority="3" stopIfTrue="1" operator="equal">
      <formula>0</formula>
    </cfRule>
  </conditionalFormatting>
  <conditionalFormatting sqref="N50:T50">
    <cfRule type="cellIs" dxfId="1" priority="2" stopIfTrue="1" operator="equal">
      <formula>0</formula>
    </cfRule>
  </conditionalFormatting>
  <conditionalFormatting sqref="F12:I12">
    <cfRule type="cellIs" dxfId="0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M58"/>
  <sheetViews>
    <sheetView showGridLines="0" zoomScale="60" zoomScaleNormal="60" workbookViewId="0">
      <selection activeCell="U4" sqref="U4"/>
    </sheetView>
  </sheetViews>
  <sheetFormatPr defaultColWidth="9" defaultRowHeight="15.75" x14ac:dyDescent="0.25"/>
  <cols>
    <col min="1" max="1" width="2.625" style="122" customWidth="1"/>
    <col min="2" max="2" width="18.875" style="122" customWidth="1"/>
    <col min="3" max="3" width="26.625" style="122" customWidth="1"/>
    <col min="4" max="4" width="14.375" style="122" customWidth="1"/>
    <col min="5" max="5" width="3.125" style="122" customWidth="1"/>
    <col min="6" max="9" width="12.375" style="122" customWidth="1"/>
    <col min="10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9" style="122"/>
    <col min="257" max="257" width="2.62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125" style="122" customWidth="1"/>
    <col min="262" max="265" width="12.375" style="122" customWidth="1"/>
    <col min="266" max="268" width="7" style="122" customWidth="1"/>
    <col min="269" max="269" width="3.1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9" style="122"/>
    <col min="513" max="513" width="2.62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125" style="122" customWidth="1"/>
    <col min="518" max="521" width="12.375" style="122" customWidth="1"/>
    <col min="522" max="524" width="7" style="122" customWidth="1"/>
    <col min="525" max="525" width="3.1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9" style="122"/>
    <col min="769" max="769" width="2.62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125" style="122" customWidth="1"/>
    <col min="774" max="777" width="12.375" style="122" customWidth="1"/>
    <col min="778" max="780" width="7" style="122" customWidth="1"/>
    <col min="781" max="781" width="3.1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9" style="122"/>
    <col min="1025" max="1025" width="2.62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125" style="122" customWidth="1"/>
    <col min="1030" max="1033" width="12.375" style="122" customWidth="1"/>
    <col min="1034" max="1036" width="7" style="122" customWidth="1"/>
    <col min="1037" max="1037" width="3.1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9" style="122"/>
    <col min="1281" max="1281" width="2.62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125" style="122" customWidth="1"/>
    <col min="1286" max="1289" width="12.375" style="122" customWidth="1"/>
    <col min="1290" max="1292" width="7" style="122" customWidth="1"/>
    <col min="1293" max="1293" width="3.1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9" style="122"/>
    <col min="1537" max="1537" width="2.62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125" style="122" customWidth="1"/>
    <col min="1542" max="1545" width="12.375" style="122" customWidth="1"/>
    <col min="1546" max="1548" width="7" style="122" customWidth="1"/>
    <col min="1549" max="1549" width="3.1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9" style="122"/>
    <col min="1793" max="1793" width="2.62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125" style="122" customWidth="1"/>
    <col min="1798" max="1801" width="12.375" style="122" customWidth="1"/>
    <col min="1802" max="1804" width="7" style="122" customWidth="1"/>
    <col min="1805" max="1805" width="3.1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9" style="122"/>
    <col min="2049" max="2049" width="2.62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125" style="122" customWidth="1"/>
    <col min="2054" max="2057" width="12.375" style="122" customWidth="1"/>
    <col min="2058" max="2060" width="7" style="122" customWidth="1"/>
    <col min="2061" max="2061" width="3.1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9" style="122"/>
    <col min="2305" max="2305" width="2.62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125" style="122" customWidth="1"/>
    <col min="2310" max="2313" width="12.375" style="122" customWidth="1"/>
    <col min="2314" max="2316" width="7" style="122" customWidth="1"/>
    <col min="2317" max="2317" width="3.1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9" style="122"/>
    <col min="2561" max="2561" width="2.62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125" style="122" customWidth="1"/>
    <col min="2566" max="2569" width="12.375" style="122" customWidth="1"/>
    <col min="2570" max="2572" width="7" style="122" customWidth="1"/>
    <col min="2573" max="2573" width="3.1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9" style="122"/>
    <col min="2817" max="2817" width="2.62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125" style="122" customWidth="1"/>
    <col min="2822" max="2825" width="12.375" style="122" customWidth="1"/>
    <col min="2826" max="2828" width="7" style="122" customWidth="1"/>
    <col min="2829" max="2829" width="3.1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9" style="122"/>
    <col min="3073" max="3073" width="2.62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125" style="122" customWidth="1"/>
    <col min="3078" max="3081" width="12.375" style="122" customWidth="1"/>
    <col min="3082" max="3084" width="7" style="122" customWidth="1"/>
    <col min="3085" max="3085" width="3.1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9" style="122"/>
    <col min="3329" max="3329" width="2.62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125" style="122" customWidth="1"/>
    <col min="3334" max="3337" width="12.375" style="122" customWidth="1"/>
    <col min="3338" max="3340" width="7" style="122" customWidth="1"/>
    <col min="3341" max="3341" width="3.1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9" style="122"/>
    <col min="3585" max="3585" width="2.62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125" style="122" customWidth="1"/>
    <col min="3590" max="3593" width="12.375" style="122" customWidth="1"/>
    <col min="3594" max="3596" width="7" style="122" customWidth="1"/>
    <col min="3597" max="3597" width="3.1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9" style="122"/>
    <col min="3841" max="3841" width="2.62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125" style="122" customWidth="1"/>
    <col min="3846" max="3849" width="12.375" style="122" customWidth="1"/>
    <col min="3850" max="3852" width="7" style="122" customWidth="1"/>
    <col min="3853" max="3853" width="3.1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9" style="122"/>
    <col min="4097" max="4097" width="2.62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125" style="122" customWidth="1"/>
    <col min="4102" max="4105" width="12.375" style="122" customWidth="1"/>
    <col min="4106" max="4108" width="7" style="122" customWidth="1"/>
    <col min="4109" max="4109" width="3.1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9" style="122"/>
    <col min="4353" max="4353" width="2.62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125" style="122" customWidth="1"/>
    <col min="4358" max="4361" width="12.375" style="122" customWidth="1"/>
    <col min="4362" max="4364" width="7" style="122" customWidth="1"/>
    <col min="4365" max="4365" width="3.1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9" style="122"/>
    <col min="4609" max="4609" width="2.62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125" style="122" customWidth="1"/>
    <col min="4614" max="4617" width="12.375" style="122" customWidth="1"/>
    <col min="4618" max="4620" width="7" style="122" customWidth="1"/>
    <col min="4621" max="4621" width="3.1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9" style="122"/>
    <col min="4865" max="4865" width="2.62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125" style="122" customWidth="1"/>
    <col min="4870" max="4873" width="12.375" style="122" customWidth="1"/>
    <col min="4874" max="4876" width="7" style="122" customWidth="1"/>
    <col min="4877" max="4877" width="3.1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9" style="122"/>
    <col min="5121" max="5121" width="2.62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125" style="122" customWidth="1"/>
    <col min="5126" max="5129" width="12.375" style="122" customWidth="1"/>
    <col min="5130" max="5132" width="7" style="122" customWidth="1"/>
    <col min="5133" max="5133" width="3.1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9" style="122"/>
    <col min="5377" max="5377" width="2.62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125" style="122" customWidth="1"/>
    <col min="5382" max="5385" width="12.375" style="122" customWidth="1"/>
    <col min="5386" max="5388" width="7" style="122" customWidth="1"/>
    <col min="5389" max="5389" width="3.1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9" style="122"/>
    <col min="5633" max="5633" width="2.62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125" style="122" customWidth="1"/>
    <col min="5638" max="5641" width="12.375" style="122" customWidth="1"/>
    <col min="5642" max="5644" width="7" style="122" customWidth="1"/>
    <col min="5645" max="5645" width="3.1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9" style="122"/>
    <col min="5889" max="5889" width="2.62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125" style="122" customWidth="1"/>
    <col min="5894" max="5897" width="12.375" style="122" customWidth="1"/>
    <col min="5898" max="5900" width="7" style="122" customWidth="1"/>
    <col min="5901" max="5901" width="3.1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9" style="122"/>
    <col min="6145" max="6145" width="2.62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125" style="122" customWidth="1"/>
    <col min="6150" max="6153" width="12.375" style="122" customWidth="1"/>
    <col min="6154" max="6156" width="7" style="122" customWidth="1"/>
    <col min="6157" max="6157" width="3.1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9" style="122"/>
    <col min="6401" max="6401" width="2.62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125" style="122" customWidth="1"/>
    <col min="6406" max="6409" width="12.375" style="122" customWidth="1"/>
    <col min="6410" max="6412" width="7" style="122" customWidth="1"/>
    <col min="6413" max="6413" width="3.1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9" style="122"/>
    <col min="6657" max="6657" width="2.62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125" style="122" customWidth="1"/>
    <col min="6662" max="6665" width="12.375" style="122" customWidth="1"/>
    <col min="6666" max="6668" width="7" style="122" customWidth="1"/>
    <col min="6669" max="6669" width="3.1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9" style="122"/>
    <col min="6913" max="6913" width="2.62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125" style="122" customWidth="1"/>
    <col min="6918" max="6921" width="12.375" style="122" customWidth="1"/>
    <col min="6922" max="6924" width="7" style="122" customWidth="1"/>
    <col min="6925" max="6925" width="3.1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9" style="122"/>
    <col min="7169" max="7169" width="2.62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125" style="122" customWidth="1"/>
    <col min="7174" max="7177" width="12.375" style="122" customWidth="1"/>
    <col min="7178" max="7180" width="7" style="122" customWidth="1"/>
    <col min="7181" max="7181" width="3.1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9" style="122"/>
    <col min="7425" max="7425" width="2.62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125" style="122" customWidth="1"/>
    <col min="7430" max="7433" width="12.375" style="122" customWidth="1"/>
    <col min="7434" max="7436" width="7" style="122" customWidth="1"/>
    <col min="7437" max="7437" width="3.1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9" style="122"/>
    <col min="7681" max="7681" width="2.62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125" style="122" customWidth="1"/>
    <col min="7686" max="7689" width="12.375" style="122" customWidth="1"/>
    <col min="7690" max="7692" width="7" style="122" customWidth="1"/>
    <col min="7693" max="7693" width="3.1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9" style="122"/>
    <col min="7937" max="7937" width="2.62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125" style="122" customWidth="1"/>
    <col min="7942" max="7945" width="12.375" style="122" customWidth="1"/>
    <col min="7946" max="7948" width="7" style="122" customWidth="1"/>
    <col min="7949" max="7949" width="3.1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9" style="122"/>
    <col min="8193" max="8193" width="2.62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125" style="122" customWidth="1"/>
    <col min="8198" max="8201" width="12.375" style="122" customWidth="1"/>
    <col min="8202" max="8204" width="7" style="122" customWidth="1"/>
    <col min="8205" max="8205" width="3.1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9" style="122"/>
    <col min="8449" max="8449" width="2.62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125" style="122" customWidth="1"/>
    <col min="8454" max="8457" width="12.375" style="122" customWidth="1"/>
    <col min="8458" max="8460" width="7" style="122" customWidth="1"/>
    <col min="8461" max="8461" width="3.1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9" style="122"/>
    <col min="8705" max="8705" width="2.62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125" style="122" customWidth="1"/>
    <col min="8710" max="8713" width="12.375" style="122" customWidth="1"/>
    <col min="8714" max="8716" width="7" style="122" customWidth="1"/>
    <col min="8717" max="8717" width="3.1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9" style="122"/>
    <col min="8961" max="8961" width="2.62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125" style="122" customWidth="1"/>
    <col min="8966" max="8969" width="12.375" style="122" customWidth="1"/>
    <col min="8970" max="8972" width="7" style="122" customWidth="1"/>
    <col min="8973" max="8973" width="3.1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9" style="122"/>
    <col min="9217" max="9217" width="2.62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125" style="122" customWidth="1"/>
    <col min="9222" max="9225" width="12.375" style="122" customWidth="1"/>
    <col min="9226" max="9228" width="7" style="122" customWidth="1"/>
    <col min="9229" max="9229" width="3.1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9" style="122"/>
    <col min="9473" max="9473" width="2.62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125" style="122" customWidth="1"/>
    <col min="9478" max="9481" width="12.375" style="122" customWidth="1"/>
    <col min="9482" max="9484" width="7" style="122" customWidth="1"/>
    <col min="9485" max="9485" width="3.1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9" style="122"/>
    <col min="9729" max="9729" width="2.62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125" style="122" customWidth="1"/>
    <col min="9734" max="9737" width="12.375" style="122" customWidth="1"/>
    <col min="9738" max="9740" width="7" style="122" customWidth="1"/>
    <col min="9741" max="9741" width="3.1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9" style="122"/>
    <col min="9985" max="9985" width="2.62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125" style="122" customWidth="1"/>
    <col min="9990" max="9993" width="12.375" style="122" customWidth="1"/>
    <col min="9994" max="9996" width="7" style="122" customWidth="1"/>
    <col min="9997" max="9997" width="3.1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9" style="122"/>
    <col min="10241" max="10241" width="2.62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125" style="122" customWidth="1"/>
    <col min="10246" max="10249" width="12.375" style="122" customWidth="1"/>
    <col min="10250" max="10252" width="7" style="122" customWidth="1"/>
    <col min="10253" max="10253" width="3.1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9" style="122"/>
    <col min="10497" max="10497" width="2.62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125" style="122" customWidth="1"/>
    <col min="10502" max="10505" width="12.375" style="122" customWidth="1"/>
    <col min="10506" max="10508" width="7" style="122" customWidth="1"/>
    <col min="10509" max="10509" width="3.1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9" style="122"/>
    <col min="10753" max="10753" width="2.62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125" style="122" customWidth="1"/>
    <col min="10758" max="10761" width="12.375" style="122" customWidth="1"/>
    <col min="10762" max="10764" width="7" style="122" customWidth="1"/>
    <col min="10765" max="10765" width="3.1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9" style="122"/>
    <col min="11009" max="11009" width="2.62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125" style="122" customWidth="1"/>
    <col min="11014" max="11017" width="12.375" style="122" customWidth="1"/>
    <col min="11018" max="11020" width="7" style="122" customWidth="1"/>
    <col min="11021" max="11021" width="3.1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9" style="122"/>
    <col min="11265" max="11265" width="2.62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125" style="122" customWidth="1"/>
    <col min="11270" max="11273" width="12.375" style="122" customWidth="1"/>
    <col min="11274" max="11276" width="7" style="122" customWidth="1"/>
    <col min="11277" max="11277" width="3.1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9" style="122"/>
    <col min="11521" max="11521" width="2.62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125" style="122" customWidth="1"/>
    <col min="11526" max="11529" width="12.375" style="122" customWidth="1"/>
    <col min="11530" max="11532" width="7" style="122" customWidth="1"/>
    <col min="11533" max="11533" width="3.1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9" style="122"/>
    <col min="11777" max="11777" width="2.62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125" style="122" customWidth="1"/>
    <col min="11782" max="11785" width="12.375" style="122" customWidth="1"/>
    <col min="11786" max="11788" width="7" style="122" customWidth="1"/>
    <col min="11789" max="11789" width="3.1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9" style="122"/>
    <col min="12033" max="12033" width="2.62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125" style="122" customWidth="1"/>
    <col min="12038" max="12041" width="12.375" style="122" customWidth="1"/>
    <col min="12042" max="12044" width="7" style="122" customWidth="1"/>
    <col min="12045" max="12045" width="3.1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9" style="122"/>
    <col min="12289" max="12289" width="2.62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125" style="122" customWidth="1"/>
    <col min="12294" max="12297" width="12.375" style="122" customWidth="1"/>
    <col min="12298" max="12300" width="7" style="122" customWidth="1"/>
    <col min="12301" max="12301" width="3.1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9" style="122"/>
    <col min="12545" max="12545" width="2.62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125" style="122" customWidth="1"/>
    <col min="12550" max="12553" width="12.375" style="122" customWidth="1"/>
    <col min="12554" max="12556" width="7" style="122" customWidth="1"/>
    <col min="12557" max="12557" width="3.1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9" style="122"/>
    <col min="12801" max="12801" width="2.62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125" style="122" customWidth="1"/>
    <col min="12806" max="12809" width="12.375" style="122" customWidth="1"/>
    <col min="12810" max="12812" width="7" style="122" customWidth="1"/>
    <col min="12813" max="12813" width="3.1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9" style="122"/>
    <col min="13057" max="13057" width="2.62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125" style="122" customWidth="1"/>
    <col min="13062" max="13065" width="12.375" style="122" customWidth="1"/>
    <col min="13066" max="13068" width="7" style="122" customWidth="1"/>
    <col min="13069" max="13069" width="3.1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9" style="122"/>
    <col min="13313" max="13313" width="2.62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125" style="122" customWidth="1"/>
    <col min="13318" max="13321" width="12.375" style="122" customWidth="1"/>
    <col min="13322" max="13324" width="7" style="122" customWidth="1"/>
    <col min="13325" max="13325" width="3.1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9" style="122"/>
    <col min="13569" max="13569" width="2.62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125" style="122" customWidth="1"/>
    <col min="13574" max="13577" width="12.375" style="122" customWidth="1"/>
    <col min="13578" max="13580" width="7" style="122" customWidth="1"/>
    <col min="13581" max="13581" width="3.1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9" style="122"/>
    <col min="13825" max="13825" width="2.62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125" style="122" customWidth="1"/>
    <col min="13830" max="13833" width="12.375" style="122" customWidth="1"/>
    <col min="13834" max="13836" width="7" style="122" customWidth="1"/>
    <col min="13837" max="13837" width="3.1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9" style="122"/>
    <col min="14081" max="14081" width="2.62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125" style="122" customWidth="1"/>
    <col min="14086" max="14089" width="12.375" style="122" customWidth="1"/>
    <col min="14090" max="14092" width="7" style="122" customWidth="1"/>
    <col min="14093" max="14093" width="3.1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9" style="122"/>
    <col min="14337" max="14337" width="2.62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125" style="122" customWidth="1"/>
    <col min="14342" max="14345" width="12.375" style="122" customWidth="1"/>
    <col min="14346" max="14348" width="7" style="122" customWidth="1"/>
    <col min="14349" max="14349" width="3.1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9" style="122"/>
    <col min="14593" max="14593" width="2.62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125" style="122" customWidth="1"/>
    <col min="14598" max="14601" width="12.375" style="122" customWidth="1"/>
    <col min="14602" max="14604" width="7" style="122" customWidth="1"/>
    <col min="14605" max="14605" width="3.1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9" style="122"/>
    <col min="14849" max="14849" width="2.62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125" style="122" customWidth="1"/>
    <col min="14854" max="14857" width="12.375" style="122" customWidth="1"/>
    <col min="14858" max="14860" width="7" style="122" customWidth="1"/>
    <col min="14861" max="14861" width="3.1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9" style="122"/>
    <col min="15105" max="15105" width="2.62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125" style="122" customWidth="1"/>
    <col min="15110" max="15113" width="12.375" style="122" customWidth="1"/>
    <col min="15114" max="15116" width="7" style="122" customWidth="1"/>
    <col min="15117" max="15117" width="3.1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9" style="122"/>
    <col min="15361" max="15361" width="2.62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125" style="122" customWidth="1"/>
    <col min="15366" max="15369" width="12.375" style="122" customWidth="1"/>
    <col min="15370" max="15372" width="7" style="122" customWidth="1"/>
    <col min="15373" max="15373" width="3.1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9" style="122"/>
    <col min="15617" max="15617" width="2.62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125" style="122" customWidth="1"/>
    <col min="15622" max="15625" width="12.375" style="122" customWidth="1"/>
    <col min="15626" max="15628" width="7" style="122" customWidth="1"/>
    <col min="15629" max="15629" width="3.1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9" style="122"/>
    <col min="15873" max="15873" width="2.62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125" style="122" customWidth="1"/>
    <col min="15878" max="15881" width="12.375" style="122" customWidth="1"/>
    <col min="15882" max="15884" width="7" style="122" customWidth="1"/>
    <col min="15885" max="15885" width="3.1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9" style="122"/>
    <col min="16129" max="16129" width="2.62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125" style="122" customWidth="1"/>
    <col min="16134" max="16137" width="12.375" style="122" customWidth="1"/>
    <col min="16138" max="16140" width="7" style="122" customWidth="1"/>
    <col min="16141" max="16141" width="3.1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45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46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71"/>
      <c r="G9" s="72"/>
      <c r="H9" s="72"/>
      <c r="I9" s="73"/>
      <c r="J9" s="56" t="str">
        <f t="shared" ref="J9:L12" si="0">IF(OR(G9=0,F9=0),"",G9/F9-1)</f>
        <v/>
      </c>
      <c r="K9" s="57" t="str">
        <f t="shared" si="0"/>
        <v/>
      </c>
      <c r="L9" s="58" t="str">
        <f t="shared" si="0"/>
        <v/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74">
        <v>276.2</v>
      </c>
      <c r="G10" s="75">
        <v>271</v>
      </c>
      <c r="H10" s="75">
        <v>264</v>
      </c>
      <c r="I10" s="76">
        <v>260</v>
      </c>
      <c r="J10" s="59">
        <f t="shared" si="0"/>
        <v>-1.8826937002172306E-2</v>
      </c>
      <c r="K10" s="60">
        <f t="shared" si="0"/>
        <v>-2.5830258302583009E-2</v>
      </c>
      <c r="L10" s="61">
        <f t="shared" si="0"/>
        <v>-1.5151515151515138E-2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74">
        <v>76.400000000000006</v>
      </c>
      <c r="G11" s="75">
        <v>86</v>
      </c>
      <c r="H11" s="75">
        <v>90</v>
      </c>
      <c r="I11" s="76">
        <v>93</v>
      </c>
      <c r="J11" s="59">
        <f t="shared" si="0"/>
        <v>0.12565445026178002</v>
      </c>
      <c r="K11" s="60">
        <f t="shared" si="0"/>
        <v>4.6511627906976827E-2</v>
      </c>
      <c r="L11" s="61">
        <f t="shared" si="0"/>
        <v>3.3333333333333437E-2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98">
        <f>+F10+F11</f>
        <v>352.6</v>
      </c>
      <c r="G12" s="99">
        <f>+G10+G11</f>
        <v>357</v>
      </c>
      <c r="H12" s="99">
        <f>+H10+H11</f>
        <v>354</v>
      </c>
      <c r="I12" s="100">
        <f>+I10+I11</f>
        <v>353</v>
      </c>
      <c r="J12" s="59">
        <f t="shared" si="0"/>
        <v>1.2478729438457181E-2</v>
      </c>
      <c r="K12" s="60">
        <f t="shared" si="0"/>
        <v>-8.4033613445377853E-3</v>
      </c>
      <c r="L12" s="61">
        <f t="shared" si="0"/>
        <v>-2.8248587570621764E-3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77"/>
      <c r="G15" s="78"/>
      <c r="H15" s="78"/>
      <c r="I15" s="79"/>
      <c r="J15" s="62" t="str">
        <f t="shared" ref="J15:L21" si="1">IF(OR(G15=0,F15=0),"",G15/F15-1)</f>
        <v/>
      </c>
      <c r="K15" s="63" t="str">
        <f t="shared" si="1"/>
        <v/>
      </c>
      <c r="L15" s="64" t="str">
        <f t="shared" si="1"/>
        <v/>
      </c>
      <c r="N15" s="77"/>
      <c r="O15" s="78"/>
      <c r="P15" s="78"/>
      <c r="Q15" s="79"/>
      <c r="R15" s="62" t="str">
        <f t="shared" ref="R15:T21" si="2">IF(OR(O15=0,N15=0),"",O15/N15-1)</f>
        <v/>
      </c>
      <c r="S15" s="63" t="str">
        <f t="shared" si="2"/>
        <v/>
      </c>
      <c r="T15" s="64" t="str">
        <f t="shared" si="2"/>
        <v/>
      </c>
      <c r="V15" s="86">
        <f>+F15+N15</f>
        <v>0</v>
      </c>
      <c r="W15" s="87">
        <f t="shared" ref="W15:Y21" si="3">+G15+O15</f>
        <v>0</v>
      </c>
      <c r="X15" s="87">
        <f t="shared" si="3"/>
        <v>0</v>
      </c>
      <c r="Y15" s="88">
        <f t="shared" si="3"/>
        <v>0</v>
      </c>
      <c r="Z15" s="59" t="str">
        <f t="shared" ref="Z15:AB21" si="4">IF(OR(W15=0,V15=0),"",W15/V15-1)</f>
        <v/>
      </c>
      <c r="AA15" s="60" t="str">
        <f t="shared" si="4"/>
        <v/>
      </c>
      <c r="AB15" s="61" t="str">
        <f t="shared" si="4"/>
        <v/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80">
        <v>17</v>
      </c>
      <c r="G16" s="81">
        <v>17</v>
      </c>
      <c r="H16" s="81">
        <v>18</v>
      </c>
      <c r="I16" s="82">
        <v>18</v>
      </c>
      <c r="J16" s="65">
        <f t="shared" si="1"/>
        <v>0</v>
      </c>
      <c r="K16" s="66">
        <f t="shared" si="1"/>
        <v>5.8823529411764719E-2</v>
      </c>
      <c r="L16" s="67">
        <f t="shared" si="1"/>
        <v>0</v>
      </c>
      <c r="N16" s="80">
        <v>8</v>
      </c>
      <c r="O16" s="81">
        <v>8</v>
      </c>
      <c r="P16" s="81">
        <v>7.8</v>
      </c>
      <c r="Q16" s="82">
        <v>7.7</v>
      </c>
      <c r="R16" s="65">
        <f t="shared" si="2"/>
        <v>0</v>
      </c>
      <c r="S16" s="66">
        <f t="shared" si="2"/>
        <v>-2.5000000000000022E-2</v>
      </c>
      <c r="T16" s="67">
        <f t="shared" si="2"/>
        <v>-1.2820512820512775E-2</v>
      </c>
      <c r="V16" s="89">
        <f t="shared" ref="V16:V21" si="5">+F16+N16</f>
        <v>25</v>
      </c>
      <c r="W16" s="90">
        <f t="shared" si="3"/>
        <v>25</v>
      </c>
      <c r="X16" s="90">
        <f t="shared" si="3"/>
        <v>25.8</v>
      </c>
      <c r="Y16" s="91">
        <f t="shared" si="3"/>
        <v>25.7</v>
      </c>
      <c r="Z16" s="68">
        <f t="shared" si="4"/>
        <v>0</v>
      </c>
      <c r="AA16" s="69">
        <f t="shared" si="4"/>
        <v>3.2000000000000028E-2</v>
      </c>
      <c r="AB16" s="70">
        <f t="shared" si="4"/>
        <v>-3.8759689922480689E-3</v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98">
        <f>+F15+F16</f>
        <v>17</v>
      </c>
      <c r="G17" s="99">
        <f>+G15+G16</f>
        <v>17</v>
      </c>
      <c r="H17" s="99">
        <f>+H15+H16</f>
        <v>18</v>
      </c>
      <c r="I17" s="100">
        <f>+I15+I16</f>
        <v>18</v>
      </c>
      <c r="J17" s="68">
        <f t="shared" si="1"/>
        <v>0</v>
      </c>
      <c r="K17" s="69">
        <f t="shared" si="1"/>
        <v>5.8823529411764719E-2</v>
      </c>
      <c r="L17" s="70">
        <f t="shared" si="1"/>
        <v>0</v>
      </c>
      <c r="M17" s="7">
        <f>+M15+M16</f>
        <v>0</v>
      </c>
      <c r="N17" s="98">
        <f>+N15+N16</f>
        <v>8</v>
      </c>
      <c r="O17" s="99">
        <f>+O15+O16</f>
        <v>8</v>
      </c>
      <c r="P17" s="99">
        <f>+P15+P16</f>
        <v>7.8</v>
      </c>
      <c r="Q17" s="100">
        <f>+Q15+Q16</f>
        <v>7.7</v>
      </c>
      <c r="R17" s="68">
        <f t="shared" si="2"/>
        <v>0</v>
      </c>
      <c r="S17" s="69">
        <f t="shared" si="2"/>
        <v>-2.5000000000000022E-2</v>
      </c>
      <c r="T17" s="70">
        <f t="shared" si="2"/>
        <v>-1.2820512820512775E-2</v>
      </c>
      <c r="U17" s="7"/>
      <c r="V17" s="98">
        <f>+V15+V16</f>
        <v>25</v>
      </c>
      <c r="W17" s="99">
        <f>+W15+W16</f>
        <v>25</v>
      </c>
      <c r="X17" s="99">
        <f>+X15+X16</f>
        <v>25.8</v>
      </c>
      <c r="Y17" s="100">
        <f>+Y15+Y16</f>
        <v>25.7</v>
      </c>
      <c r="Z17" s="68">
        <f t="shared" si="4"/>
        <v>0</v>
      </c>
      <c r="AA17" s="69">
        <f t="shared" si="4"/>
        <v>3.2000000000000028E-2</v>
      </c>
      <c r="AB17" s="70">
        <f t="shared" si="4"/>
        <v>-3.8759689922480689E-3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74"/>
      <c r="G18" s="75"/>
      <c r="H18" s="75"/>
      <c r="I18" s="76"/>
      <c r="J18" s="59" t="str">
        <f t="shared" si="1"/>
        <v/>
      </c>
      <c r="K18" s="60" t="str">
        <f t="shared" si="1"/>
        <v/>
      </c>
      <c r="L18" s="61" t="str">
        <f t="shared" si="1"/>
        <v/>
      </c>
      <c r="N18" s="74"/>
      <c r="O18" s="75"/>
      <c r="P18" s="75"/>
      <c r="Q18" s="76"/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92">
        <f t="shared" si="5"/>
        <v>0</v>
      </c>
      <c r="W18" s="93">
        <f t="shared" si="3"/>
        <v>0</v>
      </c>
      <c r="X18" s="93">
        <f t="shared" si="3"/>
        <v>0</v>
      </c>
      <c r="Y18" s="94">
        <f t="shared" si="3"/>
        <v>0</v>
      </c>
      <c r="Z18" s="59" t="str">
        <f t="shared" si="4"/>
        <v/>
      </c>
      <c r="AA18" s="60" t="str">
        <f t="shared" si="4"/>
        <v/>
      </c>
      <c r="AB18" s="61" t="str">
        <f t="shared" si="4"/>
        <v/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83"/>
      <c r="G19" s="84"/>
      <c r="H19" s="84"/>
      <c r="I19" s="85"/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/>
      <c r="O19" s="84"/>
      <c r="P19" s="84"/>
      <c r="Q19" s="85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95">
        <f t="shared" si="5"/>
        <v>0</v>
      </c>
      <c r="W19" s="96">
        <f t="shared" si="3"/>
        <v>0</v>
      </c>
      <c r="X19" s="96">
        <f t="shared" si="3"/>
        <v>0</v>
      </c>
      <c r="Y19" s="97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74"/>
      <c r="G20" s="75"/>
      <c r="H20" s="75"/>
      <c r="I20" s="76"/>
      <c r="J20" s="59" t="str">
        <f t="shared" si="1"/>
        <v/>
      </c>
      <c r="K20" s="60" t="str">
        <f t="shared" si="1"/>
        <v/>
      </c>
      <c r="L20" s="61" t="str">
        <f t="shared" si="1"/>
        <v/>
      </c>
      <c r="N20" s="74"/>
      <c r="O20" s="75"/>
      <c r="P20" s="75"/>
      <c r="Q20" s="76"/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92">
        <f t="shared" si="5"/>
        <v>0</v>
      </c>
      <c r="W20" s="93">
        <f t="shared" si="3"/>
        <v>0</v>
      </c>
      <c r="X20" s="93">
        <f t="shared" si="3"/>
        <v>0</v>
      </c>
      <c r="Y20" s="94">
        <f t="shared" si="3"/>
        <v>0</v>
      </c>
      <c r="Z20" s="59" t="str">
        <f t="shared" si="4"/>
        <v/>
      </c>
      <c r="AA20" s="60" t="str">
        <f t="shared" si="4"/>
        <v/>
      </c>
      <c r="AB20" s="61" t="str">
        <f t="shared" si="4"/>
        <v/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83"/>
      <c r="G21" s="84"/>
      <c r="H21" s="84"/>
      <c r="I21" s="85"/>
      <c r="J21" s="68" t="str">
        <f t="shared" si="1"/>
        <v/>
      </c>
      <c r="K21" s="69" t="str">
        <f t="shared" si="1"/>
        <v/>
      </c>
      <c r="L21" s="70" t="str">
        <f t="shared" si="1"/>
        <v/>
      </c>
      <c r="N21" s="83"/>
      <c r="O21" s="84"/>
      <c r="P21" s="84"/>
      <c r="Q21" s="85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95">
        <f t="shared" si="5"/>
        <v>0</v>
      </c>
      <c r="W21" s="96">
        <f t="shared" si="3"/>
        <v>0</v>
      </c>
      <c r="X21" s="96">
        <f t="shared" si="3"/>
        <v>0</v>
      </c>
      <c r="Y21" s="97">
        <f t="shared" si="3"/>
        <v>0</v>
      </c>
      <c r="Z21" s="68" t="str">
        <f t="shared" si="4"/>
        <v/>
      </c>
      <c r="AA21" s="69" t="str">
        <f t="shared" si="4"/>
        <v/>
      </c>
      <c r="AB21" s="70" t="str">
        <f t="shared" si="4"/>
        <v/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77"/>
      <c r="G24" s="78"/>
      <c r="H24" s="78"/>
      <c r="I24" s="79"/>
      <c r="J24" s="59" t="str">
        <f t="shared" ref="J24:L30" si="6">IF(OR(G24=0,F24=0),"",G24/F24-1)</f>
        <v/>
      </c>
      <c r="K24" s="60" t="str">
        <f t="shared" si="6"/>
        <v/>
      </c>
      <c r="L24" s="61" t="str">
        <f t="shared" si="6"/>
        <v/>
      </c>
      <c r="N24" s="77"/>
      <c r="O24" s="78"/>
      <c r="P24" s="78"/>
      <c r="Q24" s="79"/>
      <c r="R24" s="59" t="str">
        <f t="shared" ref="R24:T30" si="7">IF(OR(O24=0,N24=0),"",O24/N24-1)</f>
        <v/>
      </c>
      <c r="S24" s="60" t="str">
        <f t="shared" si="7"/>
        <v/>
      </c>
      <c r="T24" s="61" t="str">
        <f t="shared" si="7"/>
        <v/>
      </c>
      <c r="V24" s="86">
        <f t="shared" ref="V24:Y30" si="8">+F24+N24</f>
        <v>0</v>
      </c>
      <c r="W24" s="87">
        <f t="shared" si="8"/>
        <v>0</v>
      </c>
      <c r="X24" s="87">
        <f t="shared" si="8"/>
        <v>0</v>
      </c>
      <c r="Y24" s="88">
        <f t="shared" si="8"/>
        <v>0</v>
      </c>
      <c r="Z24" s="59" t="str">
        <f t="shared" ref="Z24:AB30" si="9">IF(OR(W24=0,V24=0),"",W24/V24-1)</f>
        <v/>
      </c>
      <c r="AA24" s="60" t="str">
        <f t="shared" si="9"/>
        <v/>
      </c>
      <c r="AB24" s="61" t="str">
        <f t="shared" si="9"/>
        <v/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80">
        <v>5.4</v>
      </c>
      <c r="G25" s="81">
        <v>6.8</v>
      </c>
      <c r="H25" s="81">
        <v>7</v>
      </c>
      <c r="I25" s="82">
        <v>7.1</v>
      </c>
      <c r="J25" s="68">
        <f t="shared" si="6"/>
        <v>0.25925925925925908</v>
      </c>
      <c r="K25" s="69">
        <f t="shared" si="6"/>
        <v>2.941176470588247E-2</v>
      </c>
      <c r="L25" s="70">
        <f t="shared" si="6"/>
        <v>1.4285714285714235E-2</v>
      </c>
      <c r="N25" s="80">
        <v>0.7</v>
      </c>
      <c r="O25" s="81">
        <v>0.7</v>
      </c>
      <c r="P25" s="81">
        <v>0.7</v>
      </c>
      <c r="Q25" s="82">
        <v>0.7</v>
      </c>
      <c r="R25" s="68">
        <f t="shared" si="7"/>
        <v>0</v>
      </c>
      <c r="S25" s="69">
        <f t="shared" si="7"/>
        <v>0</v>
      </c>
      <c r="T25" s="70">
        <f t="shared" si="7"/>
        <v>0</v>
      </c>
      <c r="V25" s="89">
        <f t="shared" si="8"/>
        <v>6.1000000000000005</v>
      </c>
      <c r="W25" s="90">
        <f t="shared" si="8"/>
        <v>7.5</v>
      </c>
      <c r="X25" s="90">
        <f t="shared" si="8"/>
        <v>7.7</v>
      </c>
      <c r="Y25" s="91">
        <f t="shared" si="8"/>
        <v>7.8</v>
      </c>
      <c r="Z25" s="68">
        <f t="shared" si="9"/>
        <v>0.22950819672131129</v>
      </c>
      <c r="AA25" s="69">
        <f t="shared" si="9"/>
        <v>2.6666666666666616E-2</v>
      </c>
      <c r="AB25" s="70">
        <f t="shared" si="9"/>
        <v>1.298701298701288E-2</v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98">
        <f>+F24+F25</f>
        <v>5.4</v>
      </c>
      <c r="G26" s="99">
        <f>+G24+G25</f>
        <v>6.8</v>
      </c>
      <c r="H26" s="99">
        <f>+H24+H25</f>
        <v>7</v>
      </c>
      <c r="I26" s="100">
        <f>+I24+I25</f>
        <v>7.1</v>
      </c>
      <c r="J26" s="68">
        <f t="shared" si="6"/>
        <v>0.25925925925925908</v>
      </c>
      <c r="K26" s="69">
        <f t="shared" si="6"/>
        <v>2.941176470588247E-2</v>
      </c>
      <c r="L26" s="70">
        <f t="shared" si="6"/>
        <v>1.4285714285714235E-2</v>
      </c>
      <c r="M26" s="7"/>
      <c r="N26" s="98">
        <f>+N24+N25</f>
        <v>0.7</v>
      </c>
      <c r="O26" s="99">
        <f>+O24+O25</f>
        <v>0.7</v>
      </c>
      <c r="P26" s="99">
        <f>+P24+P25</f>
        <v>0.7</v>
      </c>
      <c r="Q26" s="100">
        <f>+Q24+Q25</f>
        <v>0.7</v>
      </c>
      <c r="R26" s="68">
        <f t="shared" si="7"/>
        <v>0</v>
      </c>
      <c r="S26" s="69">
        <f t="shared" si="7"/>
        <v>0</v>
      </c>
      <c r="T26" s="70">
        <f t="shared" si="7"/>
        <v>0</v>
      </c>
      <c r="U26" s="7"/>
      <c r="V26" s="98">
        <f>+V24+V25</f>
        <v>6.1000000000000005</v>
      </c>
      <c r="W26" s="99">
        <f>+W24+W25</f>
        <v>7.5</v>
      </c>
      <c r="X26" s="99">
        <f>+X24+X25</f>
        <v>7.7</v>
      </c>
      <c r="Y26" s="100">
        <f>+Y24+Y25</f>
        <v>7.8</v>
      </c>
      <c r="Z26" s="68">
        <f t="shared" si="9"/>
        <v>0.22950819672131129</v>
      </c>
      <c r="AA26" s="69">
        <f t="shared" si="9"/>
        <v>2.6666666666666616E-2</v>
      </c>
      <c r="AB26" s="70">
        <f t="shared" si="9"/>
        <v>1.298701298701288E-2</v>
      </c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74"/>
      <c r="G27" s="75"/>
      <c r="H27" s="75"/>
      <c r="I27" s="76"/>
      <c r="J27" s="59" t="str">
        <f t="shared" si="6"/>
        <v/>
      </c>
      <c r="K27" s="60" t="str">
        <f t="shared" si="6"/>
        <v/>
      </c>
      <c r="L27" s="61" t="str">
        <f t="shared" si="6"/>
        <v/>
      </c>
      <c r="N27" s="74"/>
      <c r="O27" s="75"/>
      <c r="P27" s="75"/>
      <c r="Q27" s="76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92">
        <f t="shared" si="8"/>
        <v>0</v>
      </c>
      <c r="W27" s="93">
        <f t="shared" si="8"/>
        <v>0</v>
      </c>
      <c r="X27" s="93">
        <f t="shared" si="8"/>
        <v>0</v>
      </c>
      <c r="Y27" s="94">
        <f t="shared" si="8"/>
        <v>0</v>
      </c>
      <c r="Z27" s="59" t="str">
        <f t="shared" si="9"/>
        <v/>
      </c>
      <c r="AA27" s="60" t="str">
        <f t="shared" si="9"/>
        <v/>
      </c>
      <c r="AB27" s="61" t="str">
        <f t="shared" si="9"/>
        <v/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83">
        <v>12.6</v>
      </c>
      <c r="G28" s="84">
        <v>16</v>
      </c>
      <c r="H28" s="84">
        <v>17</v>
      </c>
      <c r="I28" s="85">
        <v>18</v>
      </c>
      <c r="J28" s="68">
        <f t="shared" si="6"/>
        <v>0.26984126984126977</v>
      </c>
      <c r="K28" s="69">
        <f t="shared" si="6"/>
        <v>6.25E-2</v>
      </c>
      <c r="L28" s="70">
        <f t="shared" si="6"/>
        <v>5.8823529411764719E-2</v>
      </c>
      <c r="N28" s="83"/>
      <c r="O28" s="84"/>
      <c r="P28" s="84"/>
      <c r="Q28" s="85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95">
        <f t="shared" si="8"/>
        <v>12.6</v>
      </c>
      <c r="W28" s="96">
        <f t="shared" si="8"/>
        <v>16</v>
      </c>
      <c r="X28" s="96">
        <f t="shared" si="8"/>
        <v>17</v>
      </c>
      <c r="Y28" s="97">
        <f t="shared" si="8"/>
        <v>18</v>
      </c>
      <c r="Z28" s="68">
        <f t="shared" si="9"/>
        <v>0.26984126984126977</v>
      </c>
      <c r="AA28" s="69">
        <f t="shared" si="9"/>
        <v>6.25E-2</v>
      </c>
      <c r="AB28" s="70">
        <f t="shared" si="9"/>
        <v>5.8823529411764719E-2</v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74"/>
      <c r="G29" s="75"/>
      <c r="H29" s="75"/>
      <c r="I29" s="76"/>
      <c r="J29" s="59" t="str">
        <f t="shared" si="6"/>
        <v/>
      </c>
      <c r="K29" s="60" t="str">
        <f t="shared" si="6"/>
        <v/>
      </c>
      <c r="L29" s="61" t="str">
        <f t="shared" si="6"/>
        <v/>
      </c>
      <c r="N29" s="74"/>
      <c r="O29" s="75"/>
      <c r="P29" s="75"/>
      <c r="Q29" s="76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92">
        <f t="shared" si="8"/>
        <v>0</v>
      </c>
      <c r="W29" s="93">
        <f t="shared" si="8"/>
        <v>0</v>
      </c>
      <c r="X29" s="93">
        <f t="shared" si="8"/>
        <v>0</v>
      </c>
      <c r="Y29" s="94">
        <f t="shared" si="8"/>
        <v>0</v>
      </c>
      <c r="Z29" s="59" t="str">
        <f t="shared" si="9"/>
        <v/>
      </c>
      <c r="AA29" s="60" t="str">
        <f t="shared" si="9"/>
        <v/>
      </c>
      <c r="AB29" s="61" t="str">
        <f t="shared" si="9"/>
        <v/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83">
        <v>2.4</v>
      </c>
      <c r="G30" s="84">
        <v>4.5</v>
      </c>
      <c r="H30" s="84">
        <v>4.7</v>
      </c>
      <c r="I30" s="85">
        <v>4.9000000000000004</v>
      </c>
      <c r="J30" s="68">
        <f t="shared" si="6"/>
        <v>0.875</v>
      </c>
      <c r="K30" s="69">
        <f t="shared" si="6"/>
        <v>4.4444444444444509E-2</v>
      </c>
      <c r="L30" s="70">
        <f t="shared" si="6"/>
        <v>4.2553191489361764E-2</v>
      </c>
      <c r="N30" s="83"/>
      <c r="O30" s="84"/>
      <c r="P30" s="84"/>
      <c r="Q30" s="85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95">
        <f t="shared" si="8"/>
        <v>2.4</v>
      </c>
      <c r="W30" s="96">
        <f t="shared" si="8"/>
        <v>4.5</v>
      </c>
      <c r="X30" s="96">
        <f t="shared" si="8"/>
        <v>4.7</v>
      </c>
      <c r="Y30" s="97">
        <f t="shared" si="8"/>
        <v>4.9000000000000004</v>
      </c>
      <c r="Z30" s="65">
        <f t="shared" si="9"/>
        <v>0.875</v>
      </c>
      <c r="AA30" s="66">
        <f t="shared" si="9"/>
        <v>4.4444444444444509E-2</v>
      </c>
      <c r="AB30" s="67">
        <f t="shared" si="9"/>
        <v>4.2553191489361764E-2</v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77"/>
      <c r="G33" s="78"/>
      <c r="H33" s="78"/>
      <c r="I33" s="79"/>
      <c r="J33" s="62" t="str">
        <f t="shared" ref="J33:L36" si="10">IF(OR(G33=0,F33=0),"",G33/F33-1)</f>
        <v/>
      </c>
      <c r="K33" s="63" t="str">
        <f t="shared" si="10"/>
        <v/>
      </c>
      <c r="L33" s="64" t="str">
        <f t="shared" si="10"/>
        <v/>
      </c>
      <c r="N33" s="77"/>
      <c r="O33" s="78"/>
      <c r="P33" s="78"/>
      <c r="Q33" s="79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86">
        <f t="shared" ref="V33:Y34" si="12">+F33+N33</f>
        <v>0</v>
      </c>
      <c r="W33" s="87">
        <f t="shared" si="12"/>
        <v>0</v>
      </c>
      <c r="X33" s="87">
        <f t="shared" si="12"/>
        <v>0</v>
      </c>
      <c r="Y33" s="88">
        <f t="shared" si="12"/>
        <v>0</v>
      </c>
      <c r="Z33" s="62" t="str">
        <f t="shared" ref="Z33:AB36" si="13">IF(OR(W33=0,V33=0),"",W33/V33-1)</f>
        <v/>
      </c>
      <c r="AA33" s="63" t="str">
        <f t="shared" si="13"/>
        <v/>
      </c>
      <c r="AB33" s="64" t="str">
        <f t="shared" si="13"/>
        <v/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80">
        <v>4.0999999999999996</v>
      </c>
      <c r="G34" s="81">
        <v>4.2</v>
      </c>
      <c r="H34" s="81">
        <v>4.2</v>
      </c>
      <c r="I34" s="82">
        <v>4.2</v>
      </c>
      <c r="J34" s="65">
        <f t="shared" si="10"/>
        <v>2.4390243902439046E-2</v>
      </c>
      <c r="K34" s="66">
        <f t="shared" si="10"/>
        <v>0</v>
      </c>
      <c r="L34" s="67">
        <f t="shared" si="10"/>
        <v>0</v>
      </c>
      <c r="N34" s="80"/>
      <c r="O34" s="81"/>
      <c r="P34" s="81"/>
      <c r="Q34" s="82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89">
        <f t="shared" si="12"/>
        <v>4.0999999999999996</v>
      </c>
      <c r="W34" s="90">
        <f t="shared" si="12"/>
        <v>4.2</v>
      </c>
      <c r="X34" s="90">
        <f t="shared" si="12"/>
        <v>4.2</v>
      </c>
      <c r="Y34" s="91">
        <f t="shared" si="12"/>
        <v>4.2</v>
      </c>
      <c r="Z34" s="65">
        <f t="shared" si="13"/>
        <v>2.4390243902439046E-2</v>
      </c>
      <c r="AA34" s="66">
        <f t="shared" si="13"/>
        <v>0</v>
      </c>
      <c r="AB34" s="67">
        <f t="shared" si="13"/>
        <v>0</v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98">
        <f>+F33+F34</f>
        <v>4.0999999999999996</v>
      </c>
      <c r="G35" s="99">
        <f>+G33+G34</f>
        <v>4.2</v>
      </c>
      <c r="H35" s="99">
        <f>+H33+H34</f>
        <v>4.2</v>
      </c>
      <c r="I35" s="100">
        <f>+I33+I34</f>
        <v>4.2</v>
      </c>
      <c r="J35" s="68">
        <f t="shared" si="10"/>
        <v>2.4390243902439046E-2</v>
      </c>
      <c r="K35" s="69">
        <f t="shared" si="10"/>
        <v>0</v>
      </c>
      <c r="L35" s="70">
        <f t="shared" si="10"/>
        <v>0</v>
      </c>
      <c r="M35" s="7"/>
      <c r="N35" s="98">
        <f>+N33+N34</f>
        <v>0</v>
      </c>
      <c r="O35" s="99">
        <f>+O33+O34</f>
        <v>0</v>
      </c>
      <c r="P35" s="99">
        <f>+P33+P34</f>
        <v>0</v>
      </c>
      <c r="Q35" s="100">
        <f>+Q33+Q34</f>
        <v>0</v>
      </c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7"/>
      <c r="V35" s="98">
        <f>+V33+V34</f>
        <v>4.0999999999999996</v>
      </c>
      <c r="W35" s="99">
        <f>+W33+W34</f>
        <v>4.2</v>
      </c>
      <c r="X35" s="99">
        <f>+X33+X34</f>
        <v>4.2</v>
      </c>
      <c r="Y35" s="100">
        <f>+Y33+Y34</f>
        <v>4.2</v>
      </c>
      <c r="Z35" s="68">
        <f t="shared" si="13"/>
        <v>2.4390243902439046E-2</v>
      </c>
      <c r="AA35" s="69">
        <f t="shared" si="13"/>
        <v>0</v>
      </c>
      <c r="AB35" s="70">
        <f t="shared" si="13"/>
        <v>0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83"/>
      <c r="G36" s="84"/>
      <c r="H36" s="84"/>
      <c r="I36" s="85"/>
      <c r="J36" s="68" t="str">
        <f t="shared" si="10"/>
        <v/>
      </c>
      <c r="K36" s="69" t="str">
        <f t="shared" si="10"/>
        <v/>
      </c>
      <c r="L36" s="70" t="str">
        <f t="shared" si="10"/>
        <v/>
      </c>
      <c r="N36" s="83"/>
      <c r="O36" s="84"/>
      <c r="P36" s="84"/>
      <c r="Q36" s="85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95">
        <f>+F36+N36</f>
        <v>0</v>
      </c>
      <c r="W36" s="96">
        <f>+G36+O36</f>
        <v>0</v>
      </c>
      <c r="X36" s="96">
        <f>+H36+P36</f>
        <v>0</v>
      </c>
      <c r="Y36" s="97">
        <f>+I36+Q36</f>
        <v>0</v>
      </c>
      <c r="Z36" s="68" t="str">
        <f t="shared" si="13"/>
        <v/>
      </c>
      <c r="AA36" s="69" t="str">
        <f t="shared" si="13"/>
        <v/>
      </c>
      <c r="AB36" s="70" t="str">
        <f t="shared" si="13"/>
        <v/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101"/>
      <c r="G42" s="102"/>
      <c r="H42" s="102"/>
      <c r="I42" s="103"/>
      <c r="J42" s="62" t="str">
        <f t="shared" ref="J42:L44" si="14">IF(OR(G42=0,F42=0),"",G42/F42-1)</f>
        <v/>
      </c>
      <c r="K42" s="63" t="str">
        <f t="shared" si="14"/>
        <v/>
      </c>
      <c r="L42" s="64" t="str">
        <f t="shared" si="14"/>
        <v/>
      </c>
      <c r="N42" s="101">
        <v>415</v>
      </c>
      <c r="O42" s="102">
        <v>420</v>
      </c>
      <c r="P42" s="102">
        <v>425</v>
      </c>
      <c r="Q42" s="103">
        <v>430</v>
      </c>
      <c r="R42" s="62">
        <f t="shared" ref="R42:T44" si="15">IF(OR(O42=0,N42=0),"",O42/N42-1)</f>
        <v>1.2048192771084265E-2</v>
      </c>
      <c r="S42" s="63">
        <f t="shared" si="15"/>
        <v>1.1904761904761862E-2</v>
      </c>
      <c r="T42" s="64">
        <f t="shared" si="15"/>
        <v>1.1764705882352899E-2</v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104"/>
      <c r="G43" s="105"/>
      <c r="H43" s="105"/>
      <c r="I43" s="106"/>
      <c r="J43" s="65" t="str">
        <f t="shared" si="14"/>
        <v/>
      </c>
      <c r="K43" s="66" t="str">
        <f t="shared" si="14"/>
        <v/>
      </c>
      <c r="L43" s="67" t="str">
        <f t="shared" si="14"/>
        <v/>
      </c>
      <c r="N43" s="104">
        <v>415</v>
      </c>
      <c r="O43" s="105">
        <v>420</v>
      </c>
      <c r="P43" s="105">
        <v>425</v>
      </c>
      <c r="Q43" s="106">
        <v>430</v>
      </c>
      <c r="R43" s="65">
        <f t="shared" si="15"/>
        <v>1.2048192771084265E-2</v>
      </c>
      <c r="S43" s="66">
        <f t="shared" si="15"/>
        <v>1.1904761904761862E-2</v>
      </c>
      <c r="T43" s="67">
        <f t="shared" si="15"/>
        <v>1.1764705882352899E-2</v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0</v>
      </c>
      <c r="G44" s="108">
        <f>(G42+G43)/2</f>
        <v>0</v>
      </c>
      <c r="H44" s="108">
        <f>(H42+H43)/2</f>
        <v>0</v>
      </c>
      <c r="I44" s="109">
        <f>(I42+I43)/2</f>
        <v>0</v>
      </c>
      <c r="J44" s="68" t="str">
        <f t="shared" si="14"/>
        <v/>
      </c>
      <c r="K44" s="69" t="str">
        <f t="shared" si="14"/>
        <v/>
      </c>
      <c r="L44" s="70" t="str">
        <f t="shared" si="14"/>
        <v/>
      </c>
      <c r="M44" s="7"/>
      <c r="N44" s="107">
        <f>(N42+N43)/2</f>
        <v>415</v>
      </c>
      <c r="O44" s="108">
        <f>(O42+O43)/2</f>
        <v>420</v>
      </c>
      <c r="P44" s="108">
        <f>(P42+P43)/2</f>
        <v>425</v>
      </c>
      <c r="Q44" s="109">
        <f>(Q42+Q43)/2</f>
        <v>430</v>
      </c>
      <c r="R44" s="68">
        <f t="shared" si="15"/>
        <v>1.2048192771084265E-2</v>
      </c>
      <c r="S44" s="69">
        <f t="shared" si="15"/>
        <v>1.1904761904761862E-2</v>
      </c>
      <c r="T44" s="70">
        <f t="shared" si="15"/>
        <v>1.1764705882352899E-2</v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1">
        <v>180</v>
      </c>
      <c r="G48" s="102">
        <v>185</v>
      </c>
      <c r="H48" s="102">
        <v>190</v>
      </c>
      <c r="I48" s="103">
        <v>195</v>
      </c>
      <c r="J48" s="62">
        <f t="shared" ref="J48:L50" si="16">IF(OR(G48=0,F48=0),"",G48/F48-1)</f>
        <v>2.7777777777777679E-2</v>
      </c>
      <c r="K48" s="63">
        <f t="shared" si="16"/>
        <v>2.7027027027026973E-2</v>
      </c>
      <c r="L48" s="64">
        <f t="shared" si="16"/>
        <v>2.6315789473684292E-2</v>
      </c>
      <c r="N48" s="101"/>
      <c r="O48" s="102"/>
      <c r="P48" s="102"/>
      <c r="Q48" s="103"/>
      <c r="R48" s="62" t="str">
        <f t="shared" ref="R48:T50" si="17">IF(OR(O48=0,N48=0),"",O48/N48-1)</f>
        <v/>
      </c>
      <c r="S48" s="63" t="str">
        <f t="shared" si="17"/>
        <v/>
      </c>
      <c r="T48" s="64" t="str">
        <f t="shared" si="17"/>
        <v/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4">
        <v>180</v>
      </c>
      <c r="G49" s="105">
        <v>185</v>
      </c>
      <c r="H49" s="105">
        <v>190</v>
      </c>
      <c r="I49" s="106">
        <v>195</v>
      </c>
      <c r="J49" s="65">
        <f t="shared" si="16"/>
        <v>2.7777777777777679E-2</v>
      </c>
      <c r="K49" s="66">
        <f t="shared" si="16"/>
        <v>2.7027027027026973E-2</v>
      </c>
      <c r="L49" s="67">
        <f t="shared" si="16"/>
        <v>2.6315789473684292E-2</v>
      </c>
      <c r="N49" s="104"/>
      <c r="O49" s="105"/>
      <c r="P49" s="105"/>
      <c r="Q49" s="106"/>
      <c r="R49" s="65" t="str">
        <f t="shared" si="17"/>
        <v/>
      </c>
      <c r="S49" s="66" t="str">
        <f t="shared" si="17"/>
        <v/>
      </c>
      <c r="T49" s="67" t="str">
        <f t="shared" si="17"/>
        <v/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f>(F48+F49)/2</f>
        <v>180</v>
      </c>
      <c r="G50" s="108">
        <f>(G48+G49)/2</f>
        <v>185</v>
      </c>
      <c r="H50" s="108">
        <f>(H48+H49)/2</f>
        <v>190</v>
      </c>
      <c r="I50" s="109">
        <f>(I48+I49)/2</f>
        <v>195</v>
      </c>
      <c r="J50" s="68">
        <f t="shared" si="16"/>
        <v>2.7777777777777679E-2</v>
      </c>
      <c r="K50" s="69">
        <f t="shared" si="16"/>
        <v>2.7027027027026973E-2</v>
      </c>
      <c r="L50" s="70">
        <f t="shared" si="16"/>
        <v>2.6315789473684292E-2</v>
      </c>
      <c r="M50" s="7"/>
      <c r="N50" s="107">
        <f>(N48+N49)/2</f>
        <v>0</v>
      </c>
      <c r="O50" s="108">
        <f>(O48+O49)/2</f>
        <v>0</v>
      </c>
      <c r="P50" s="108">
        <f>(P48+P49)/2</f>
        <v>0</v>
      </c>
      <c r="Q50" s="109">
        <f>(Q48+Q49)/2</f>
        <v>0</v>
      </c>
      <c r="R50" s="68" t="str">
        <f t="shared" si="17"/>
        <v/>
      </c>
      <c r="S50" s="69" t="str">
        <f t="shared" si="17"/>
        <v/>
      </c>
      <c r="T50" s="70" t="str">
        <f t="shared" si="17"/>
        <v/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F44:T44 F17:AB17 F26:I26 V33:AB33 V36:Y36 F35:AB35 V34:Y34 V30:Y30 V24:Y25 V29:AB29 V27:Y28 V18:Y21 V15:Y16 U26:Y26 M26:Q26">
    <cfRule type="cellIs" dxfId="107" priority="3" stopIfTrue="1" operator="equal">
      <formula>0</formula>
    </cfRule>
  </conditionalFormatting>
  <conditionalFormatting sqref="N50:T50">
    <cfRule type="cellIs" dxfId="106" priority="2" stopIfTrue="1" operator="equal">
      <formula>0</formula>
    </cfRule>
  </conditionalFormatting>
  <conditionalFormatting sqref="F12:I12">
    <cfRule type="cellIs" dxfId="105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M58"/>
  <sheetViews>
    <sheetView showGridLines="0" topLeftCell="A2" zoomScale="60" zoomScaleNormal="60" workbookViewId="0">
      <selection activeCell="C23" sqref="C23"/>
    </sheetView>
  </sheetViews>
  <sheetFormatPr defaultColWidth="9" defaultRowHeight="15.75" x14ac:dyDescent="0.25"/>
  <cols>
    <col min="1" max="1" width="2.625" style="122" customWidth="1"/>
    <col min="2" max="2" width="18.875" style="122" customWidth="1"/>
    <col min="3" max="3" width="26.625" style="122" customWidth="1"/>
    <col min="4" max="4" width="14.375" style="122" customWidth="1"/>
    <col min="5" max="5" width="3.125" style="122" customWidth="1"/>
    <col min="6" max="9" width="12.375" style="122" customWidth="1"/>
    <col min="10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32" width="9" style="122"/>
    <col min="33" max="34" width="11.375" style="122" bestFit="1" customWidth="1"/>
    <col min="35" max="256" width="9" style="122"/>
    <col min="257" max="257" width="2.62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125" style="122" customWidth="1"/>
    <col min="262" max="265" width="12.375" style="122" customWidth="1"/>
    <col min="266" max="268" width="7" style="122" customWidth="1"/>
    <col min="269" max="269" width="3.1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288" width="9" style="122"/>
    <col min="289" max="290" width="11.375" style="122" bestFit="1" customWidth="1"/>
    <col min="291" max="512" width="9" style="122"/>
    <col min="513" max="513" width="2.62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125" style="122" customWidth="1"/>
    <col min="518" max="521" width="12.375" style="122" customWidth="1"/>
    <col min="522" max="524" width="7" style="122" customWidth="1"/>
    <col min="525" max="525" width="3.1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544" width="9" style="122"/>
    <col min="545" max="546" width="11.375" style="122" bestFit="1" customWidth="1"/>
    <col min="547" max="768" width="9" style="122"/>
    <col min="769" max="769" width="2.62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125" style="122" customWidth="1"/>
    <col min="774" max="777" width="12.375" style="122" customWidth="1"/>
    <col min="778" max="780" width="7" style="122" customWidth="1"/>
    <col min="781" max="781" width="3.1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800" width="9" style="122"/>
    <col min="801" max="802" width="11.375" style="122" bestFit="1" customWidth="1"/>
    <col min="803" max="1024" width="9" style="122"/>
    <col min="1025" max="1025" width="2.62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125" style="122" customWidth="1"/>
    <col min="1030" max="1033" width="12.375" style="122" customWidth="1"/>
    <col min="1034" max="1036" width="7" style="122" customWidth="1"/>
    <col min="1037" max="1037" width="3.1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056" width="9" style="122"/>
    <col min="1057" max="1058" width="11.375" style="122" bestFit="1" customWidth="1"/>
    <col min="1059" max="1280" width="9" style="122"/>
    <col min="1281" max="1281" width="2.62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125" style="122" customWidth="1"/>
    <col min="1286" max="1289" width="12.375" style="122" customWidth="1"/>
    <col min="1290" max="1292" width="7" style="122" customWidth="1"/>
    <col min="1293" max="1293" width="3.1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312" width="9" style="122"/>
    <col min="1313" max="1314" width="11.375" style="122" bestFit="1" customWidth="1"/>
    <col min="1315" max="1536" width="9" style="122"/>
    <col min="1537" max="1537" width="2.62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125" style="122" customWidth="1"/>
    <col min="1542" max="1545" width="12.375" style="122" customWidth="1"/>
    <col min="1546" max="1548" width="7" style="122" customWidth="1"/>
    <col min="1549" max="1549" width="3.1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568" width="9" style="122"/>
    <col min="1569" max="1570" width="11.375" style="122" bestFit="1" customWidth="1"/>
    <col min="1571" max="1792" width="9" style="122"/>
    <col min="1793" max="1793" width="2.62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125" style="122" customWidth="1"/>
    <col min="1798" max="1801" width="12.375" style="122" customWidth="1"/>
    <col min="1802" max="1804" width="7" style="122" customWidth="1"/>
    <col min="1805" max="1805" width="3.1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1824" width="9" style="122"/>
    <col min="1825" max="1826" width="11.375" style="122" bestFit="1" customWidth="1"/>
    <col min="1827" max="2048" width="9" style="122"/>
    <col min="2049" max="2049" width="2.62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125" style="122" customWidth="1"/>
    <col min="2054" max="2057" width="12.375" style="122" customWidth="1"/>
    <col min="2058" max="2060" width="7" style="122" customWidth="1"/>
    <col min="2061" max="2061" width="3.1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080" width="9" style="122"/>
    <col min="2081" max="2082" width="11.375" style="122" bestFit="1" customWidth="1"/>
    <col min="2083" max="2304" width="9" style="122"/>
    <col min="2305" max="2305" width="2.62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125" style="122" customWidth="1"/>
    <col min="2310" max="2313" width="12.375" style="122" customWidth="1"/>
    <col min="2314" max="2316" width="7" style="122" customWidth="1"/>
    <col min="2317" max="2317" width="3.1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336" width="9" style="122"/>
    <col min="2337" max="2338" width="11.375" style="122" bestFit="1" customWidth="1"/>
    <col min="2339" max="2560" width="9" style="122"/>
    <col min="2561" max="2561" width="2.62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125" style="122" customWidth="1"/>
    <col min="2566" max="2569" width="12.375" style="122" customWidth="1"/>
    <col min="2570" max="2572" width="7" style="122" customWidth="1"/>
    <col min="2573" max="2573" width="3.1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592" width="9" style="122"/>
    <col min="2593" max="2594" width="11.375" style="122" bestFit="1" customWidth="1"/>
    <col min="2595" max="2816" width="9" style="122"/>
    <col min="2817" max="2817" width="2.62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125" style="122" customWidth="1"/>
    <col min="2822" max="2825" width="12.375" style="122" customWidth="1"/>
    <col min="2826" max="2828" width="7" style="122" customWidth="1"/>
    <col min="2829" max="2829" width="3.1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2848" width="9" style="122"/>
    <col min="2849" max="2850" width="11.375" style="122" bestFit="1" customWidth="1"/>
    <col min="2851" max="3072" width="9" style="122"/>
    <col min="3073" max="3073" width="2.62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125" style="122" customWidth="1"/>
    <col min="3078" max="3081" width="12.375" style="122" customWidth="1"/>
    <col min="3082" max="3084" width="7" style="122" customWidth="1"/>
    <col min="3085" max="3085" width="3.1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104" width="9" style="122"/>
    <col min="3105" max="3106" width="11.375" style="122" bestFit="1" customWidth="1"/>
    <col min="3107" max="3328" width="9" style="122"/>
    <col min="3329" max="3329" width="2.62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125" style="122" customWidth="1"/>
    <col min="3334" max="3337" width="12.375" style="122" customWidth="1"/>
    <col min="3338" max="3340" width="7" style="122" customWidth="1"/>
    <col min="3341" max="3341" width="3.1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360" width="9" style="122"/>
    <col min="3361" max="3362" width="11.375" style="122" bestFit="1" customWidth="1"/>
    <col min="3363" max="3584" width="9" style="122"/>
    <col min="3585" max="3585" width="2.62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125" style="122" customWidth="1"/>
    <col min="3590" max="3593" width="12.375" style="122" customWidth="1"/>
    <col min="3594" max="3596" width="7" style="122" customWidth="1"/>
    <col min="3597" max="3597" width="3.1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616" width="9" style="122"/>
    <col min="3617" max="3618" width="11.375" style="122" bestFit="1" customWidth="1"/>
    <col min="3619" max="3840" width="9" style="122"/>
    <col min="3841" max="3841" width="2.62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125" style="122" customWidth="1"/>
    <col min="3846" max="3849" width="12.375" style="122" customWidth="1"/>
    <col min="3850" max="3852" width="7" style="122" customWidth="1"/>
    <col min="3853" max="3853" width="3.1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3872" width="9" style="122"/>
    <col min="3873" max="3874" width="11.375" style="122" bestFit="1" customWidth="1"/>
    <col min="3875" max="4096" width="9" style="122"/>
    <col min="4097" max="4097" width="2.62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125" style="122" customWidth="1"/>
    <col min="4102" max="4105" width="12.375" style="122" customWidth="1"/>
    <col min="4106" max="4108" width="7" style="122" customWidth="1"/>
    <col min="4109" max="4109" width="3.1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128" width="9" style="122"/>
    <col min="4129" max="4130" width="11.375" style="122" bestFit="1" customWidth="1"/>
    <col min="4131" max="4352" width="9" style="122"/>
    <col min="4353" max="4353" width="2.62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125" style="122" customWidth="1"/>
    <col min="4358" max="4361" width="12.375" style="122" customWidth="1"/>
    <col min="4362" max="4364" width="7" style="122" customWidth="1"/>
    <col min="4365" max="4365" width="3.1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384" width="9" style="122"/>
    <col min="4385" max="4386" width="11.375" style="122" bestFit="1" customWidth="1"/>
    <col min="4387" max="4608" width="9" style="122"/>
    <col min="4609" max="4609" width="2.62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125" style="122" customWidth="1"/>
    <col min="4614" max="4617" width="12.375" style="122" customWidth="1"/>
    <col min="4618" max="4620" width="7" style="122" customWidth="1"/>
    <col min="4621" max="4621" width="3.1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640" width="9" style="122"/>
    <col min="4641" max="4642" width="11.375" style="122" bestFit="1" customWidth="1"/>
    <col min="4643" max="4864" width="9" style="122"/>
    <col min="4865" max="4865" width="2.62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125" style="122" customWidth="1"/>
    <col min="4870" max="4873" width="12.375" style="122" customWidth="1"/>
    <col min="4874" max="4876" width="7" style="122" customWidth="1"/>
    <col min="4877" max="4877" width="3.1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4896" width="9" style="122"/>
    <col min="4897" max="4898" width="11.375" style="122" bestFit="1" customWidth="1"/>
    <col min="4899" max="5120" width="9" style="122"/>
    <col min="5121" max="5121" width="2.62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125" style="122" customWidth="1"/>
    <col min="5126" max="5129" width="12.375" style="122" customWidth="1"/>
    <col min="5130" max="5132" width="7" style="122" customWidth="1"/>
    <col min="5133" max="5133" width="3.1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152" width="9" style="122"/>
    <col min="5153" max="5154" width="11.375" style="122" bestFit="1" customWidth="1"/>
    <col min="5155" max="5376" width="9" style="122"/>
    <col min="5377" max="5377" width="2.62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125" style="122" customWidth="1"/>
    <col min="5382" max="5385" width="12.375" style="122" customWidth="1"/>
    <col min="5386" max="5388" width="7" style="122" customWidth="1"/>
    <col min="5389" max="5389" width="3.1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408" width="9" style="122"/>
    <col min="5409" max="5410" width="11.375" style="122" bestFit="1" customWidth="1"/>
    <col min="5411" max="5632" width="9" style="122"/>
    <col min="5633" max="5633" width="2.62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125" style="122" customWidth="1"/>
    <col min="5638" max="5641" width="12.375" style="122" customWidth="1"/>
    <col min="5642" max="5644" width="7" style="122" customWidth="1"/>
    <col min="5645" max="5645" width="3.1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664" width="9" style="122"/>
    <col min="5665" max="5666" width="11.375" style="122" bestFit="1" customWidth="1"/>
    <col min="5667" max="5888" width="9" style="122"/>
    <col min="5889" max="5889" width="2.62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125" style="122" customWidth="1"/>
    <col min="5894" max="5897" width="12.375" style="122" customWidth="1"/>
    <col min="5898" max="5900" width="7" style="122" customWidth="1"/>
    <col min="5901" max="5901" width="3.1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5920" width="9" style="122"/>
    <col min="5921" max="5922" width="11.375" style="122" bestFit="1" customWidth="1"/>
    <col min="5923" max="6144" width="9" style="122"/>
    <col min="6145" max="6145" width="2.62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125" style="122" customWidth="1"/>
    <col min="6150" max="6153" width="12.375" style="122" customWidth="1"/>
    <col min="6154" max="6156" width="7" style="122" customWidth="1"/>
    <col min="6157" max="6157" width="3.1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176" width="9" style="122"/>
    <col min="6177" max="6178" width="11.375" style="122" bestFit="1" customWidth="1"/>
    <col min="6179" max="6400" width="9" style="122"/>
    <col min="6401" max="6401" width="2.62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125" style="122" customWidth="1"/>
    <col min="6406" max="6409" width="12.375" style="122" customWidth="1"/>
    <col min="6410" max="6412" width="7" style="122" customWidth="1"/>
    <col min="6413" max="6413" width="3.1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432" width="9" style="122"/>
    <col min="6433" max="6434" width="11.375" style="122" bestFit="1" customWidth="1"/>
    <col min="6435" max="6656" width="9" style="122"/>
    <col min="6657" max="6657" width="2.62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125" style="122" customWidth="1"/>
    <col min="6662" max="6665" width="12.375" style="122" customWidth="1"/>
    <col min="6666" max="6668" width="7" style="122" customWidth="1"/>
    <col min="6669" max="6669" width="3.1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688" width="9" style="122"/>
    <col min="6689" max="6690" width="11.375" style="122" bestFit="1" customWidth="1"/>
    <col min="6691" max="6912" width="9" style="122"/>
    <col min="6913" max="6913" width="2.62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125" style="122" customWidth="1"/>
    <col min="6918" max="6921" width="12.375" style="122" customWidth="1"/>
    <col min="6922" max="6924" width="7" style="122" customWidth="1"/>
    <col min="6925" max="6925" width="3.1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6944" width="9" style="122"/>
    <col min="6945" max="6946" width="11.375" style="122" bestFit="1" customWidth="1"/>
    <col min="6947" max="7168" width="9" style="122"/>
    <col min="7169" max="7169" width="2.62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125" style="122" customWidth="1"/>
    <col min="7174" max="7177" width="12.375" style="122" customWidth="1"/>
    <col min="7178" max="7180" width="7" style="122" customWidth="1"/>
    <col min="7181" max="7181" width="3.1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200" width="9" style="122"/>
    <col min="7201" max="7202" width="11.375" style="122" bestFit="1" customWidth="1"/>
    <col min="7203" max="7424" width="9" style="122"/>
    <col min="7425" max="7425" width="2.62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125" style="122" customWidth="1"/>
    <col min="7430" max="7433" width="12.375" style="122" customWidth="1"/>
    <col min="7434" max="7436" width="7" style="122" customWidth="1"/>
    <col min="7437" max="7437" width="3.1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456" width="9" style="122"/>
    <col min="7457" max="7458" width="11.375" style="122" bestFit="1" customWidth="1"/>
    <col min="7459" max="7680" width="9" style="122"/>
    <col min="7681" max="7681" width="2.62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125" style="122" customWidth="1"/>
    <col min="7686" max="7689" width="12.375" style="122" customWidth="1"/>
    <col min="7690" max="7692" width="7" style="122" customWidth="1"/>
    <col min="7693" max="7693" width="3.1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712" width="9" style="122"/>
    <col min="7713" max="7714" width="11.375" style="122" bestFit="1" customWidth="1"/>
    <col min="7715" max="7936" width="9" style="122"/>
    <col min="7937" max="7937" width="2.62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125" style="122" customWidth="1"/>
    <col min="7942" max="7945" width="12.375" style="122" customWidth="1"/>
    <col min="7946" max="7948" width="7" style="122" customWidth="1"/>
    <col min="7949" max="7949" width="3.1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7968" width="9" style="122"/>
    <col min="7969" max="7970" width="11.375" style="122" bestFit="1" customWidth="1"/>
    <col min="7971" max="8192" width="9" style="122"/>
    <col min="8193" max="8193" width="2.62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125" style="122" customWidth="1"/>
    <col min="8198" max="8201" width="12.375" style="122" customWidth="1"/>
    <col min="8202" max="8204" width="7" style="122" customWidth="1"/>
    <col min="8205" max="8205" width="3.1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224" width="9" style="122"/>
    <col min="8225" max="8226" width="11.375" style="122" bestFit="1" customWidth="1"/>
    <col min="8227" max="8448" width="9" style="122"/>
    <col min="8449" max="8449" width="2.62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125" style="122" customWidth="1"/>
    <col min="8454" max="8457" width="12.375" style="122" customWidth="1"/>
    <col min="8458" max="8460" width="7" style="122" customWidth="1"/>
    <col min="8461" max="8461" width="3.1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480" width="9" style="122"/>
    <col min="8481" max="8482" width="11.375" style="122" bestFit="1" customWidth="1"/>
    <col min="8483" max="8704" width="9" style="122"/>
    <col min="8705" max="8705" width="2.62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125" style="122" customWidth="1"/>
    <col min="8710" max="8713" width="12.375" style="122" customWidth="1"/>
    <col min="8714" max="8716" width="7" style="122" customWidth="1"/>
    <col min="8717" max="8717" width="3.1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736" width="9" style="122"/>
    <col min="8737" max="8738" width="11.375" style="122" bestFit="1" customWidth="1"/>
    <col min="8739" max="8960" width="9" style="122"/>
    <col min="8961" max="8961" width="2.62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125" style="122" customWidth="1"/>
    <col min="8966" max="8969" width="12.375" style="122" customWidth="1"/>
    <col min="8970" max="8972" width="7" style="122" customWidth="1"/>
    <col min="8973" max="8973" width="3.1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8992" width="9" style="122"/>
    <col min="8993" max="8994" width="11.375" style="122" bestFit="1" customWidth="1"/>
    <col min="8995" max="9216" width="9" style="122"/>
    <col min="9217" max="9217" width="2.62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125" style="122" customWidth="1"/>
    <col min="9222" max="9225" width="12.375" style="122" customWidth="1"/>
    <col min="9226" max="9228" width="7" style="122" customWidth="1"/>
    <col min="9229" max="9229" width="3.1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248" width="9" style="122"/>
    <col min="9249" max="9250" width="11.375" style="122" bestFit="1" customWidth="1"/>
    <col min="9251" max="9472" width="9" style="122"/>
    <col min="9473" max="9473" width="2.62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125" style="122" customWidth="1"/>
    <col min="9478" max="9481" width="12.375" style="122" customWidth="1"/>
    <col min="9482" max="9484" width="7" style="122" customWidth="1"/>
    <col min="9485" max="9485" width="3.1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504" width="9" style="122"/>
    <col min="9505" max="9506" width="11.375" style="122" bestFit="1" customWidth="1"/>
    <col min="9507" max="9728" width="9" style="122"/>
    <col min="9729" max="9729" width="2.62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125" style="122" customWidth="1"/>
    <col min="9734" max="9737" width="12.375" style="122" customWidth="1"/>
    <col min="9738" max="9740" width="7" style="122" customWidth="1"/>
    <col min="9741" max="9741" width="3.1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760" width="9" style="122"/>
    <col min="9761" max="9762" width="11.375" style="122" bestFit="1" customWidth="1"/>
    <col min="9763" max="9984" width="9" style="122"/>
    <col min="9985" max="9985" width="2.62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125" style="122" customWidth="1"/>
    <col min="9990" max="9993" width="12.375" style="122" customWidth="1"/>
    <col min="9994" max="9996" width="7" style="122" customWidth="1"/>
    <col min="9997" max="9997" width="3.1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016" width="9" style="122"/>
    <col min="10017" max="10018" width="11.375" style="122" bestFit="1" customWidth="1"/>
    <col min="10019" max="10240" width="9" style="122"/>
    <col min="10241" max="10241" width="2.62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125" style="122" customWidth="1"/>
    <col min="10246" max="10249" width="12.375" style="122" customWidth="1"/>
    <col min="10250" max="10252" width="7" style="122" customWidth="1"/>
    <col min="10253" max="10253" width="3.1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272" width="9" style="122"/>
    <col min="10273" max="10274" width="11.375" style="122" bestFit="1" customWidth="1"/>
    <col min="10275" max="10496" width="9" style="122"/>
    <col min="10497" max="10497" width="2.62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125" style="122" customWidth="1"/>
    <col min="10502" max="10505" width="12.375" style="122" customWidth="1"/>
    <col min="10506" max="10508" width="7" style="122" customWidth="1"/>
    <col min="10509" max="10509" width="3.1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528" width="9" style="122"/>
    <col min="10529" max="10530" width="11.375" style="122" bestFit="1" customWidth="1"/>
    <col min="10531" max="10752" width="9" style="122"/>
    <col min="10753" max="10753" width="2.62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125" style="122" customWidth="1"/>
    <col min="10758" max="10761" width="12.375" style="122" customWidth="1"/>
    <col min="10762" max="10764" width="7" style="122" customWidth="1"/>
    <col min="10765" max="10765" width="3.1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0784" width="9" style="122"/>
    <col min="10785" max="10786" width="11.375" style="122" bestFit="1" customWidth="1"/>
    <col min="10787" max="11008" width="9" style="122"/>
    <col min="11009" max="11009" width="2.62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125" style="122" customWidth="1"/>
    <col min="11014" max="11017" width="12.375" style="122" customWidth="1"/>
    <col min="11018" max="11020" width="7" style="122" customWidth="1"/>
    <col min="11021" max="11021" width="3.1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040" width="9" style="122"/>
    <col min="11041" max="11042" width="11.375" style="122" bestFit="1" customWidth="1"/>
    <col min="11043" max="11264" width="9" style="122"/>
    <col min="11265" max="11265" width="2.62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125" style="122" customWidth="1"/>
    <col min="11270" max="11273" width="12.375" style="122" customWidth="1"/>
    <col min="11274" max="11276" width="7" style="122" customWidth="1"/>
    <col min="11277" max="11277" width="3.1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296" width="9" style="122"/>
    <col min="11297" max="11298" width="11.375" style="122" bestFit="1" customWidth="1"/>
    <col min="11299" max="11520" width="9" style="122"/>
    <col min="11521" max="11521" width="2.62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125" style="122" customWidth="1"/>
    <col min="11526" max="11529" width="12.375" style="122" customWidth="1"/>
    <col min="11530" max="11532" width="7" style="122" customWidth="1"/>
    <col min="11533" max="11533" width="3.1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552" width="9" style="122"/>
    <col min="11553" max="11554" width="11.375" style="122" bestFit="1" customWidth="1"/>
    <col min="11555" max="11776" width="9" style="122"/>
    <col min="11777" max="11777" width="2.62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125" style="122" customWidth="1"/>
    <col min="11782" max="11785" width="12.375" style="122" customWidth="1"/>
    <col min="11786" max="11788" width="7" style="122" customWidth="1"/>
    <col min="11789" max="11789" width="3.1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1808" width="9" style="122"/>
    <col min="11809" max="11810" width="11.375" style="122" bestFit="1" customWidth="1"/>
    <col min="11811" max="12032" width="9" style="122"/>
    <col min="12033" max="12033" width="2.62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125" style="122" customWidth="1"/>
    <col min="12038" max="12041" width="12.375" style="122" customWidth="1"/>
    <col min="12042" max="12044" width="7" style="122" customWidth="1"/>
    <col min="12045" max="12045" width="3.1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064" width="9" style="122"/>
    <col min="12065" max="12066" width="11.375" style="122" bestFit="1" customWidth="1"/>
    <col min="12067" max="12288" width="9" style="122"/>
    <col min="12289" max="12289" width="2.62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125" style="122" customWidth="1"/>
    <col min="12294" max="12297" width="12.375" style="122" customWidth="1"/>
    <col min="12298" max="12300" width="7" style="122" customWidth="1"/>
    <col min="12301" max="12301" width="3.1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320" width="9" style="122"/>
    <col min="12321" max="12322" width="11.375" style="122" bestFit="1" customWidth="1"/>
    <col min="12323" max="12544" width="9" style="122"/>
    <col min="12545" max="12545" width="2.62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125" style="122" customWidth="1"/>
    <col min="12550" max="12553" width="12.375" style="122" customWidth="1"/>
    <col min="12554" max="12556" width="7" style="122" customWidth="1"/>
    <col min="12557" max="12557" width="3.1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576" width="9" style="122"/>
    <col min="12577" max="12578" width="11.375" style="122" bestFit="1" customWidth="1"/>
    <col min="12579" max="12800" width="9" style="122"/>
    <col min="12801" max="12801" width="2.62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125" style="122" customWidth="1"/>
    <col min="12806" max="12809" width="12.375" style="122" customWidth="1"/>
    <col min="12810" max="12812" width="7" style="122" customWidth="1"/>
    <col min="12813" max="12813" width="3.1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2832" width="9" style="122"/>
    <col min="12833" max="12834" width="11.375" style="122" bestFit="1" customWidth="1"/>
    <col min="12835" max="13056" width="9" style="122"/>
    <col min="13057" max="13057" width="2.62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125" style="122" customWidth="1"/>
    <col min="13062" max="13065" width="12.375" style="122" customWidth="1"/>
    <col min="13066" max="13068" width="7" style="122" customWidth="1"/>
    <col min="13069" max="13069" width="3.1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088" width="9" style="122"/>
    <col min="13089" max="13090" width="11.375" style="122" bestFit="1" customWidth="1"/>
    <col min="13091" max="13312" width="9" style="122"/>
    <col min="13313" max="13313" width="2.62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125" style="122" customWidth="1"/>
    <col min="13318" max="13321" width="12.375" style="122" customWidth="1"/>
    <col min="13322" max="13324" width="7" style="122" customWidth="1"/>
    <col min="13325" max="13325" width="3.1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344" width="9" style="122"/>
    <col min="13345" max="13346" width="11.375" style="122" bestFit="1" customWidth="1"/>
    <col min="13347" max="13568" width="9" style="122"/>
    <col min="13569" max="13569" width="2.62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125" style="122" customWidth="1"/>
    <col min="13574" max="13577" width="12.375" style="122" customWidth="1"/>
    <col min="13578" max="13580" width="7" style="122" customWidth="1"/>
    <col min="13581" max="13581" width="3.1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600" width="9" style="122"/>
    <col min="13601" max="13602" width="11.375" style="122" bestFit="1" customWidth="1"/>
    <col min="13603" max="13824" width="9" style="122"/>
    <col min="13825" max="13825" width="2.62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125" style="122" customWidth="1"/>
    <col min="13830" max="13833" width="12.375" style="122" customWidth="1"/>
    <col min="13834" max="13836" width="7" style="122" customWidth="1"/>
    <col min="13837" max="13837" width="3.1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3856" width="9" style="122"/>
    <col min="13857" max="13858" width="11.375" style="122" bestFit="1" customWidth="1"/>
    <col min="13859" max="14080" width="9" style="122"/>
    <col min="14081" max="14081" width="2.62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125" style="122" customWidth="1"/>
    <col min="14086" max="14089" width="12.375" style="122" customWidth="1"/>
    <col min="14090" max="14092" width="7" style="122" customWidth="1"/>
    <col min="14093" max="14093" width="3.1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112" width="9" style="122"/>
    <col min="14113" max="14114" width="11.375" style="122" bestFit="1" customWidth="1"/>
    <col min="14115" max="14336" width="9" style="122"/>
    <col min="14337" max="14337" width="2.62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125" style="122" customWidth="1"/>
    <col min="14342" max="14345" width="12.375" style="122" customWidth="1"/>
    <col min="14346" max="14348" width="7" style="122" customWidth="1"/>
    <col min="14349" max="14349" width="3.1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368" width="9" style="122"/>
    <col min="14369" max="14370" width="11.375" style="122" bestFit="1" customWidth="1"/>
    <col min="14371" max="14592" width="9" style="122"/>
    <col min="14593" max="14593" width="2.62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125" style="122" customWidth="1"/>
    <col min="14598" max="14601" width="12.375" style="122" customWidth="1"/>
    <col min="14602" max="14604" width="7" style="122" customWidth="1"/>
    <col min="14605" max="14605" width="3.1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624" width="9" style="122"/>
    <col min="14625" max="14626" width="11.375" style="122" bestFit="1" customWidth="1"/>
    <col min="14627" max="14848" width="9" style="122"/>
    <col min="14849" max="14849" width="2.62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125" style="122" customWidth="1"/>
    <col min="14854" max="14857" width="12.375" style="122" customWidth="1"/>
    <col min="14858" max="14860" width="7" style="122" customWidth="1"/>
    <col min="14861" max="14861" width="3.1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4880" width="9" style="122"/>
    <col min="14881" max="14882" width="11.375" style="122" bestFit="1" customWidth="1"/>
    <col min="14883" max="15104" width="9" style="122"/>
    <col min="15105" max="15105" width="2.62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125" style="122" customWidth="1"/>
    <col min="15110" max="15113" width="12.375" style="122" customWidth="1"/>
    <col min="15114" max="15116" width="7" style="122" customWidth="1"/>
    <col min="15117" max="15117" width="3.1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136" width="9" style="122"/>
    <col min="15137" max="15138" width="11.375" style="122" bestFit="1" customWidth="1"/>
    <col min="15139" max="15360" width="9" style="122"/>
    <col min="15361" max="15361" width="2.62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125" style="122" customWidth="1"/>
    <col min="15366" max="15369" width="12.375" style="122" customWidth="1"/>
    <col min="15370" max="15372" width="7" style="122" customWidth="1"/>
    <col min="15373" max="15373" width="3.1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392" width="9" style="122"/>
    <col min="15393" max="15394" width="11.375" style="122" bestFit="1" customWidth="1"/>
    <col min="15395" max="15616" width="9" style="122"/>
    <col min="15617" max="15617" width="2.62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125" style="122" customWidth="1"/>
    <col min="15622" max="15625" width="12.375" style="122" customWidth="1"/>
    <col min="15626" max="15628" width="7" style="122" customWidth="1"/>
    <col min="15629" max="15629" width="3.1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648" width="9" style="122"/>
    <col min="15649" max="15650" width="11.375" style="122" bestFit="1" customWidth="1"/>
    <col min="15651" max="15872" width="9" style="122"/>
    <col min="15873" max="15873" width="2.62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125" style="122" customWidth="1"/>
    <col min="15878" max="15881" width="12.375" style="122" customWidth="1"/>
    <col min="15882" max="15884" width="7" style="122" customWidth="1"/>
    <col min="15885" max="15885" width="3.1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5904" width="9" style="122"/>
    <col min="15905" max="15906" width="11.375" style="122" bestFit="1" customWidth="1"/>
    <col min="15907" max="16128" width="9" style="122"/>
    <col min="16129" max="16129" width="2.62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125" style="122" customWidth="1"/>
    <col min="16134" max="16137" width="12.375" style="122" customWidth="1"/>
    <col min="16138" max="16140" width="7" style="122" customWidth="1"/>
    <col min="16141" max="16141" width="3.1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160" width="9" style="122"/>
    <col min="16161" max="16162" width="11.375" style="122" bestFit="1" customWidth="1"/>
    <col min="16163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90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/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72">
        <v>1407.1</v>
      </c>
      <c r="G9" s="73">
        <v>1415.7</v>
      </c>
      <c r="H9" s="73">
        <v>1421.2</v>
      </c>
      <c r="I9" s="73">
        <v>1422</v>
      </c>
      <c r="J9" s="56">
        <f t="shared" ref="J9:L12" si="0">IF(OR(G9=0,F9=0),"",G9/F9-1)</f>
        <v>6.111861274962882E-3</v>
      </c>
      <c r="K9" s="57">
        <f t="shared" si="0"/>
        <v>3.8850038850037905E-3</v>
      </c>
      <c r="L9" s="58">
        <f t="shared" si="0"/>
        <v>5.6290458767227491E-4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75">
        <v>376.1</v>
      </c>
      <c r="G10" s="76">
        <v>372.5</v>
      </c>
      <c r="H10" s="76">
        <v>369.8</v>
      </c>
      <c r="I10" s="76">
        <v>366</v>
      </c>
      <c r="J10" s="59">
        <f t="shared" si="0"/>
        <v>-9.5719223610742921E-3</v>
      </c>
      <c r="K10" s="60">
        <f t="shared" si="0"/>
        <v>-7.2483221476509208E-3</v>
      </c>
      <c r="L10" s="61">
        <f t="shared" si="0"/>
        <v>-1.0275824770146103E-2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75">
        <v>203.95</v>
      </c>
      <c r="G11" s="76">
        <v>211.2</v>
      </c>
      <c r="H11" s="76">
        <v>216.095</v>
      </c>
      <c r="I11" s="76">
        <v>217</v>
      </c>
      <c r="J11" s="59">
        <f t="shared" si="0"/>
        <v>3.5547928413826924E-2</v>
      </c>
      <c r="K11" s="60">
        <f t="shared" si="0"/>
        <v>2.3177083333333348E-2</v>
      </c>
      <c r="L11" s="61">
        <f t="shared" si="0"/>
        <v>4.1879728822971085E-3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98">
        <f>+F10+F11</f>
        <v>580.04999999999995</v>
      </c>
      <c r="G12" s="99">
        <f>+G10+G11</f>
        <v>583.70000000000005</v>
      </c>
      <c r="H12" s="99">
        <f>+H10+H11</f>
        <v>585.89499999999998</v>
      </c>
      <c r="I12" s="100">
        <f>+I10+I11</f>
        <v>583</v>
      </c>
      <c r="J12" s="59">
        <f t="shared" si="0"/>
        <v>6.2925609861219645E-3</v>
      </c>
      <c r="K12" s="60">
        <f t="shared" si="0"/>
        <v>3.7604934041457483E-3</v>
      </c>
      <c r="L12" s="61">
        <f t="shared" si="0"/>
        <v>-4.9411583986891383E-3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78">
        <v>43.28</v>
      </c>
      <c r="G15" s="79">
        <v>44.8</v>
      </c>
      <c r="H15" s="79">
        <v>43</v>
      </c>
      <c r="I15" s="79">
        <v>43.5</v>
      </c>
      <c r="J15" s="62">
        <f t="shared" ref="J15:L21" si="1">IF(OR(G15=0,F15=0),"",G15/F15-1)</f>
        <v>3.512014787430684E-2</v>
      </c>
      <c r="K15" s="63">
        <f t="shared" si="1"/>
        <v>-4.0178571428571397E-2</v>
      </c>
      <c r="L15" s="64">
        <f t="shared" si="1"/>
        <v>1.1627906976744207E-2</v>
      </c>
      <c r="N15" s="78"/>
      <c r="O15" s="79"/>
      <c r="P15" s="79"/>
      <c r="Q15" s="79"/>
      <c r="R15" s="62" t="str">
        <f t="shared" ref="R15:T21" si="2">IF(OR(O15=0,N15=0),"",O15/N15-1)</f>
        <v/>
      </c>
      <c r="S15" s="63" t="str">
        <f t="shared" si="2"/>
        <v/>
      </c>
      <c r="T15" s="64" t="str">
        <f t="shared" si="2"/>
        <v/>
      </c>
      <c r="V15" s="86">
        <f>+F15+N15</f>
        <v>43.28</v>
      </c>
      <c r="W15" s="87">
        <f t="shared" ref="W15:Y21" si="3">+G15+O15</f>
        <v>44.8</v>
      </c>
      <c r="X15" s="87">
        <f t="shared" si="3"/>
        <v>43</v>
      </c>
      <c r="Y15" s="88">
        <f t="shared" si="3"/>
        <v>43.5</v>
      </c>
      <c r="Z15" s="59">
        <f t="shared" ref="Z15:AB21" si="4">IF(OR(W15=0,V15=0),"",W15/V15-1)</f>
        <v>3.512014787430684E-2</v>
      </c>
      <c r="AA15" s="60">
        <f t="shared" si="4"/>
        <v>-4.0178571428571397E-2</v>
      </c>
      <c r="AB15" s="61">
        <f t="shared" si="4"/>
        <v>1.1627906976744207E-2</v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81">
        <v>51.01</v>
      </c>
      <c r="G16" s="82">
        <v>48.8</v>
      </c>
      <c r="H16" s="82">
        <v>47.5</v>
      </c>
      <c r="I16" s="82">
        <v>48.5</v>
      </c>
      <c r="J16" s="65">
        <f t="shared" si="1"/>
        <v>-4.3324838267006505E-2</v>
      </c>
      <c r="K16" s="66">
        <f t="shared" si="1"/>
        <v>-2.6639344262294973E-2</v>
      </c>
      <c r="L16" s="67">
        <f t="shared" si="1"/>
        <v>2.1052631578947434E-2</v>
      </c>
      <c r="N16" s="81"/>
      <c r="O16" s="82"/>
      <c r="P16" s="82"/>
      <c r="Q16" s="82"/>
      <c r="R16" s="65" t="str">
        <f t="shared" si="2"/>
        <v/>
      </c>
      <c r="S16" s="66" t="str">
        <f t="shared" si="2"/>
        <v/>
      </c>
      <c r="T16" s="67" t="str">
        <f t="shared" si="2"/>
        <v/>
      </c>
      <c r="V16" s="89">
        <f t="shared" ref="V16:V21" si="5">+F16+N16</f>
        <v>51.01</v>
      </c>
      <c r="W16" s="90">
        <f t="shared" si="3"/>
        <v>48.8</v>
      </c>
      <c r="X16" s="90">
        <f t="shared" si="3"/>
        <v>47.5</v>
      </c>
      <c r="Y16" s="91">
        <f t="shared" si="3"/>
        <v>48.5</v>
      </c>
      <c r="Z16" s="68">
        <f t="shared" si="4"/>
        <v>-4.3324838267006505E-2</v>
      </c>
      <c r="AA16" s="69">
        <f t="shared" si="4"/>
        <v>-2.6639344262294973E-2</v>
      </c>
      <c r="AB16" s="70">
        <f t="shared" si="4"/>
        <v>2.1052631578947434E-2</v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98">
        <f>SUM(F15:F16)</f>
        <v>94.289999999999992</v>
      </c>
      <c r="G17" s="98">
        <f>SUM(G15:G16)</f>
        <v>93.6</v>
      </c>
      <c r="H17" s="98">
        <f>SUM(H15:H16)</f>
        <v>90.5</v>
      </c>
      <c r="I17" s="98">
        <f>SUM(I15:I16)</f>
        <v>92</v>
      </c>
      <c r="J17" s="68">
        <f t="shared" si="1"/>
        <v>-7.3178491886731756E-3</v>
      </c>
      <c r="K17" s="69">
        <f t="shared" si="1"/>
        <v>-3.3119658119658113E-2</v>
      </c>
      <c r="L17" s="70">
        <f t="shared" si="1"/>
        <v>1.6574585635359185E-2</v>
      </c>
      <c r="M17" s="7">
        <f>+M15+M16</f>
        <v>0</v>
      </c>
      <c r="N17" s="98"/>
      <c r="O17" s="99"/>
      <c r="P17" s="99"/>
      <c r="Q17" s="100"/>
      <c r="R17" s="68" t="str">
        <f t="shared" si="2"/>
        <v/>
      </c>
      <c r="S17" s="69" t="str">
        <f t="shared" si="2"/>
        <v/>
      </c>
      <c r="T17" s="70" t="str">
        <f t="shared" si="2"/>
        <v/>
      </c>
      <c r="U17" s="7"/>
      <c r="V17" s="98">
        <f>+V15+V16</f>
        <v>94.289999999999992</v>
      </c>
      <c r="W17" s="99">
        <f>+W15+W16</f>
        <v>93.6</v>
      </c>
      <c r="X17" s="99">
        <f>+X15+X16</f>
        <v>90.5</v>
      </c>
      <c r="Y17" s="100">
        <f>+Y15+Y16</f>
        <v>92</v>
      </c>
      <c r="Z17" s="68">
        <f t="shared" si="4"/>
        <v>-7.3178491886731756E-3</v>
      </c>
      <c r="AA17" s="69">
        <f t="shared" si="4"/>
        <v>-3.3119658119658113E-2</v>
      </c>
      <c r="AB17" s="70">
        <f t="shared" si="4"/>
        <v>1.6574585635359185E-2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131">
        <v>2.1</v>
      </c>
      <c r="G18" s="131">
        <v>2.7</v>
      </c>
      <c r="H18" s="132">
        <v>2.1</v>
      </c>
      <c r="I18" s="132">
        <v>2.6</v>
      </c>
      <c r="J18" s="59">
        <f t="shared" si="1"/>
        <v>0.28571428571428581</v>
      </c>
      <c r="K18" s="60">
        <f t="shared" si="1"/>
        <v>-0.22222222222222221</v>
      </c>
      <c r="L18" s="61">
        <f t="shared" si="1"/>
        <v>0.23809523809523814</v>
      </c>
      <c r="N18" s="133"/>
      <c r="O18" s="133"/>
      <c r="P18" s="134"/>
      <c r="Q18" s="134"/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92">
        <f t="shared" si="5"/>
        <v>2.1</v>
      </c>
      <c r="W18" s="93">
        <f t="shared" si="3"/>
        <v>2.7</v>
      </c>
      <c r="X18" s="93">
        <f t="shared" si="3"/>
        <v>2.1</v>
      </c>
      <c r="Y18" s="94">
        <f t="shared" si="3"/>
        <v>2.6</v>
      </c>
      <c r="Z18" s="59">
        <f t="shared" si="4"/>
        <v>0.28571428571428581</v>
      </c>
      <c r="AA18" s="60">
        <f t="shared" si="4"/>
        <v>-0.22222222222222221</v>
      </c>
      <c r="AB18" s="61">
        <f t="shared" si="4"/>
        <v>0.23809523809523814</v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135">
        <v>0</v>
      </c>
      <c r="G19" s="135">
        <v>0</v>
      </c>
      <c r="H19" s="136">
        <v>0</v>
      </c>
      <c r="I19" s="136">
        <v>0</v>
      </c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137"/>
      <c r="O19" s="137"/>
      <c r="P19" s="138"/>
      <c r="Q19" s="138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95">
        <f t="shared" si="5"/>
        <v>0</v>
      </c>
      <c r="W19" s="96">
        <f t="shared" si="3"/>
        <v>0</v>
      </c>
      <c r="X19" s="96">
        <f t="shared" si="3"/>
        <v>0</v>
      </c>
      <c r="Y19" s="97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131">
        <v>27.9</v>
      </c>
      <c r="G20" s="131">
        <v>24</v>
      </c>
      <c r="H20" s="132">
        <v>23</v>
      </c>
      <c r="I20" s="132">
        <v>24</v>
      </c>
      <c r="J20" s="59">
        <f t="shared" si="1"/>
        <v>-0.13978494623655913</v>
      </c>
      <c r="K20" s="60">
        <f t="shared" si="1"/>
        <v>-4.166666666666663E-2</v>
      </c>
      <c r="L20" s="61">
        <f t="shared" si="1"/>
        <v>4.3478260869565188E-2</v>
      </c>
      <c r="N20" s="133"/>
      <c r="O20" s="133"/>
      <c r="P20" s="134"/>
      <c r="Q20" s="134"/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92">
        <f t="shared" si="5"/>
        <v>27.9</v>
      </c>
      <c r="W20" s="93">
        <f t="shared" si="3"/>
        <v>24</v>
      </c>
      <c r="X20" s="93">
        <f t="shared" si="3"/>
        <v>23</v>
      </c>
      <c r="Y20" s="94">
        <f t="shared" si="3"/>
        <v>24</v>
      </c>
      <c r="Z20" s="59">
        <f t="shared" si="4"/>
        <v>-0.13978494623655913</v>
      </c>
      <c r="AA20" s="60">
        <f t="shared" si="4"/>
        <v>-4.166666666666663E-2</v>
      </c>
      <c r="AB20" s="61">
        <f t="shared" si="4"/>
        <v>4.3478260869565188E-2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135">
        <v>0.2</v>
      </c>
      <c r="G21" s="135">
        <v>0.4</v>
      </c>
      <c r="H21" s="136">
        <v>1</v>
      </c>
      <c r="I21" s="136">
        <v>1.6</v>
      </c>
      <c r="J21" s="68">
        <f t="shared" si="1"/>
        <v>1</v>
      </c>
      <c r="K21" s="69">
        <f t="shared" si="1"/>
        <v>1.5</v>
      </c>
      <c r="L21" s="70">
        <f t="shared" si="1"/>
        <v>0.60000000000000009</v>
      </c>
      <c r="N21" s="137"/>
      <c r="O21" s="137"/>
      <c r="P21" s="138"/>
      <c r="Q21" s="138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95">
        <f t="shared" si="5"/>
        <v>0.2</v>
      </c>
      <c r="W21" s="96">
        <f t="shared" si="3"/>
        <v>0.4</v>
      </c>
      <c r="X21" s="96">
        <f t="shared" si="3"/>
        <v>1</v>
      </c>
      <c r="Y21" s="97">
        <f t="shared" si="3"/>
        <v>1.6</v>
      </c>
      <c r="Z21" s="68">
        <f t="shared" si="4"/>
        <v>1</v>
      </c>
      <c r="AA21" s="69">
        <f t="shared" si="4"/>
        <v>1.5</v>
      </c>
      <c r="AB21" s="70">
        <f t="shared" si="4"/>
        <v>0.60000000000000009</v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78">
        <v>33.299999999999997</v>
      </c>
      <c r="G24" s="78">
        <v>35.9</v>
      </c>
      <c r="H24" s="79">
        <v>33.6</v>
      </c>
      <c r="I24" s="79">
        <v>34</v>
      </c>
      <c r="J24" s="59">
        <f t="shared" ref="J24:L30" si="6">IF(OR(G24=0,F24=0),"",G24/F24-1)</f>
        <v>7.8078078078078095E-2</v>
      </c>
      <c r="K24" s="60">
        <f t="shared" si="6"/>
        <v>-6.4066852367687943E-2</v>
      </c>
      <c r="L24" s="61">
        <f t="shared" si="6"/>
        <v>1.1904761904761862E-2</v>
      </c>
      <c r="N24" s="78"/>
      <c r="O24" s="78"/>
      <c r="P24" s="79"/>
      <c r="Q24" s="79"/>
      <c r="R24" s="59" t="str">
        <f t="shared" ref="R24:T30" si="7">IF(OR(O24=0,N24=0),"",O24/N24-1)</f>
        <v/>
      </c>
      <c r="S24" s="60" t="str">
        <f t="shared" si="7"/>
        <v/>
      </c>
      <c r="T24" s="61" t="str">
        <f t="shared" si="7"/>
        <v/>
      </c>
      <c r="V24" s="86">
        <f t="shared" ref="V24:Y30" si="8">+F24+N24</f>
        <v>33.299999999999997</v>
      </c>
      <c r="W24" s="87">
        <f t="shared" si="8"/>
        <v>35.9</v>
      </c>
      <c r="X24" s="87">
        <f t="shared" si="8"/>
        <v>33.6</v>
      </c>
      <c r="Y24" s="88">
        <f t="shared" si="8"/>
        <v>34</v>
      </c>
      <c r="Z24" s="59">
        <f t="shared" ref="Z24:AB30" si="9">IF(OR(W24=0,V24=0),"",W24/V24-1)</f>
        <v>7.8078078078078095E-2</v>
      </c>
      <c r="AA24" s="60">
        <f t="shared" si="9"/>
        <v>-6.4066852367687943E-2</v>
      </c>
      <c r="AB24" s="61">
        <f t="shared" si="9"/>
        <v>1.1904761904761862E-2</v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81">
        <v>35</v>
      </c>
      <c r="G25" s="81">
        <v>36</v>
      </c>
      <c r="H25" s="82">
        <v>35</v>
      </c>
      <c r="I25" s="82">
        <v>35</v>
      </c>
      <c r="J25" s="68">
        <f t="shared" si="6"/>
        <v>2.857142857142847E-2</v>
      </c>
      <c r="K25" s="69">
        <f t="shared" si="6"/>
        <v>-2.777777777777779E-2</v>
      </c>
      <c r="L25" s="70">
        <f t="shared" si="6"/>
        <v>0</v>
      </c>
      <c r="N25" s="81"/>
      <c r="O25" s="81"/>
      <c r="P25" s="82"/>
      <c r="Q25" s="82"/>
      <c r="R25" s="68" t="str">
        <f t="shared" si="7"/>
        <v/>
      </c>
      <c r="S25" s="69" t="str">
        <f t="shared" si="7"/>
        <v/>
      </c>
      <c r="T25" s="70" t="str">
        <f t="shared" si="7"/>
        <v/>
      </c>
      <c r="V25" s="89">
        <f t="shared" si="8"/>
        <v>35</v>
      </c>
      <c r="W25" s="90">
        <f t="shared" si="8"/>
        <v>36</v>
      </c>
      <c r="X25" s="90">
        <f t="shared" si="8"/>
        <v>35</v>
      </c>
      <c r="Y25" s="91">
        <f t="shared" si="8"/>
        <v>35</v>
      </c>
      <c r="Z25" s="68">
        <f t="shared" si="9"/>
        <v>2.857142857142847E-2</v>
      </c>
      <c r="AA25" s="69">
        <f t="shared" si="9"/>
        <v>-2.777777777777779E-2</v>
      </c>
      <c r="AB25" s="70">
        <f t="shared" si="9"/>
        <v>0</v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98">
        <f>SUM(F24:F25)</f>
        <v>68.3</v>
      </c>
      <c r="G26" s="98">
        <f>SUM(G24:G25)</f>
        <v>71.900000000000006</v>
      </c>
      <c r="H26" s="98">
        <f>SUM(H24:H25)</f>
        <v>68.599999999999994</v>
      </c>
      <c r="I26" s="98">
        <f>SUM(I24:I25)</f>
        <v>69</v>
      </c>
      <c r="J26" s="68">
        <f t="shared" si="6"/>
        <v>5.2708638360175808E-2</v>
      </c>
      <c r="K26" s="69">
        <f t="shared" si="6"/>
        <v>-4.5897079276773445E-2</v>
      </c>
      <c r="L26" s="70">
        <f t="shared" si="6"/>
        <v>5.8309037900874383E-3</v>
      </c>
      <c r="M26" s="7"/>
      <c r="N26" s="99"/>
      <c r="O26" s="99"/>
      <c r="P26" s="99"/>
      <c r="Q26" s="99"/>
      <c r="R26" s="68" t="str">
        <f t="shared" si="7"/>
        <v/>
      </c>
      <c r="S26" s="69" t="str">
        <f t="shared" si="7"/>
        <v/>
      </c>
      <c r="T26" s="70" t="str">
        <f t="shared" si="7"/>
        <v/>
      </c>
      <c r="U26" s="7"/>
      <c r="V26" s="98">
        <f>+V24+V25</f>
        <v>68.3</v>
      </c>
      <c r="W26" s="99">
        <f>+W24+W25</f>
        <v>71.900000000000006</v>
      </c>
      <c r="X26" s="99">
        <f>+X24+X25</f>
        <v>68.599999999999994</v>
      </c>
      <c r="Y26" s="100">
        <f>+Y24+Y25</f>
        <v>69</v>
      </c>
      <c r="Z26" s="68">
        <f t="shared" si="9"/>
        <v>5.2708638360175808E-2</v>
      </c>
      <c r="AA26" s="69">
        <f t="shared" si="9"/>
        <v>-4.5897079276773445E-2</v>
      </c>
      <c r="AB26" s="70">
        <f t="shared" si="9"/>
        <v>5.8309037900874383E-3</v>
      </c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75">
        <v>15</v>
      </c>
      <c r="G27" s="75">
        <v>21.7</v>
      </c>
      <c r="H27" s="76">
        <v>20.8</v>
      </c>
      <c r="I27" s="76">
        <v>21</v>
      </c>
      <c r="J27" s="59">
        <f t="shared" si="6"/>
        <v>0.44666666666666655</v>
      </c>
      <c r="K27" s="60">
        <f t="shared" si="6"/>
        <v>-4.1474654377880116E-2</v>
      </c>
      <c r="L27" s="61">
        <f t="shared" si="6"/>
        <v>9.6153846153845812E-3</v>
      </c>
      <c r="N27" s="75"/>
      <c r="O27" s="75"/>
      <c r="P27" s="76"/>
      <c r="Q27" s="76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92">
        <f t="shared" si="8"/>
        <v>15</v>
      </c>
      <c r="W27" s="93">
        <f t="shared" si="8"/>
        <v>21.7</v>
      </c>
      <c r="X27" s="93">
        <f t="shared" si="8"/>
        <v>20.8</v>
      </c>
      <c r="Y27" s="94">
        <f t="shared" si="8"/>
        <v>21</v>
      </c>
      <c r="Z27" s="59">
        <f t="shared" si="9"/>
        <v>0.44666666666666655</v>
      </c>
      <c r="AA27" s="60">
        <f t="shared" si="9"/>
        <v>-4.1474654377880116E-2</v>
      </c>
      <c r="AB27" s="61">
        <f t="shared" si="9"/>
        <v>9.6153846153845812E-3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84">
        <v>1.4</v>
      </c>
      <c r="G28" s="84">
        <v>0.4</v>
      </c>
      <c r="H28" s="85">
        <v>0.9</v>
      </c>
      <c r="I28" s="85">
        <v>1.1000000000000001</v>
      </c>
      <c r="J28" s="68">
        <f t="shared" si="6"/>
        <v>-0.71428571428571419</v>
      </c>
      <c r="K28" s="69">
        <f t="shared" si="6"/>
        <v>1.25</v>
      </c>
      <c r="L28" s="70">
        <f t="shared" si="6"/>
        <v>0.22222222222222232</v>
      </c>
      <c r="N28" s="84"/>
      <c r="O28" s="84"/>
      <c r="P28" s="85"/>
      <c r="Q28" s="85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95">
        <f t="shared" si="8"/>
        <v>1.4</v>
      </c>
      <c r="W28" s="96">
        <f t="shared" si="8"/>
        <v>0.4</v>
      </c>
      <c r="X28" s="96">
        <f t="shared" si="8"/>
        <v>0.9</v>
      </c>
      <c r="Y28" s="97">
        <f t="shared" si="8"/>
        <v>1.1000000000000001</v>
      </c>
      <c r="Z28" s="68">
        <f t="shared" si="9"/>
        <v>-0.71428571428571419</v>
      </c>
      <c r="AA28" s="69">
        <f t="shared" si="9"/>
        <v>1.25</v>
      </c>
      <c r="AB28" s="70">
        <f t="shared" si="9"/>
        <v>0.22222222222222232</v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75">
        <v>9.3000000000000007</v>
      </c>
      <c r="G29" s="75">
        <v>11.5</v>
      </c>
      <c r="H29" s="76">
        <v>10</v>
      </c>
      <c r="I29" s="76">
        <v>11.5</v>
      </c>
      <c r="J29" s="59">
        <f t="shared" si="6"/>
        <v>0.23655913978494625</v>
      </c>
      <c r="K29" s="60">
        <f t="shared" si="6"/>
        <v>-0.13043478260869568</v>
      </c>
      <c r="L29" s="61">
        <f t="shared" si="6"/>
        <v>0.14999999999999991</v>
      </c>
      <c r="N29" s="75"/>
      <c r="O29" s="75"/>
      <c r="P29" s="76"/>
      <c r="Q29" s="76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92">
        <f t="shared" si="8"/>
        <v>9.3000000000000007</v>
      </c>
      <c r="W29" s="93">
        <f t="shared" si="8"/>
        <v>11.5</v>
      </c>
      <c r="X29" s="93">
        <f t="shared" si="8"/>
        <v>10</v>
      </c>
      <c r="Y29" s="94">
        <f t="shared" si="8"/>
        <v>11.5</v>
      </c>
      <c r="Z29" s="59">
        <f t="shared" si="9"/>
        <v>0.23655913978494625</v>
      </c>
      <c r="AA29" s="60">
        <f t="shared" si="9"/>
        <v>-0.13043478260869568</v>
      </c>
      <c r="AB29" s="61">
        <f t="shared" si="9"/>
        <v>0.14999999999999991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84">
        <v>0</v>
      </c>
      <c r="G30" s="84">
        <v>0</v>
      </c>
      <c r="H30" s="85">
        <v>0</v>
      </c>
      <c r="I30" s="85">
        <v>0</v>
      </c>
      <c r="J30" s="68" t="str">
        <f t="shared" si="6"/>
        <v/>
      </c>
      <c r="K30" s="69" t="str">
        <f t="shared" si="6"/>
        <v/>
      </c>
      <c r="L30" s="70" t="str">
        <f t="shared" si="6"/>
        <v/>
      </c>
      <c r="N30" s="84"/>
      <c r="O30" s="84"/>
      <c r="P30" s="85"/>
      <c r="Q30" s="85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95">
        <f t="shared" si="8"/>
        <v>0</v>
      </c>
      <c r="W30" s="96">
        <f t="shared" si="8"/>
        <v>0</v>
      </c>
      <c r="X30" s="96">
        <f t="shared" si="8"/>
        <v>0</v>
      </c>
      <c r="Y30" s="97">
        <f t="shared" si="8"/>
        <v>0</v>
      </c>
      <c r="Z30" s="65" t="str">
        <f t="shared" si="9"/>
        <v/>
      </c>
      <c r="AA30" s="66" t="str">
        <f t="shared" si="9"/>
        <v/>
      </c>
      <c r="AB30" s="67" t="str">
        <f t="shared" si="9"/>
        <v/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78">
        <v>36.700000000000003</v>
      </c>
      <c r="G33" s="78">
        <v>40</v>
      </c>
      <c r="H33" s="79">
        <v>38.9</v>
      </c>
      <c r="I33" s="79">
        <v>38.6</v>
      </c>
      <c r="J33" s="62">
        <f t="shared" ref="J33:L36" si="10">IF(OR(G33=0,F33=0),"",G33/F33-1)</f>
        <v>8.9918256130790075E-2</v>
      </c>
      <c r="K33" s="63">
        <f t="shared" si="10"/>
        <v>-2.750000000000008E-2</v>
      </c>
      <c r="L33" s="64">
        <f t="shared" si="10"/>
        <v>-7.7120822622107621E-3</v>
      </c>
      <c r="N33" s="78"/>
      <c r="O33" s="78"/>
      <c r="P33" s="79"/>
      <c r="Q33" s="79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86">
        <f t="shared" ref="V33:Y34" si="12">+F33+N33</f>
        <v>36.700000000000003</v>
      </c>
      <c r="W33" s="87">
        <f t="shared" si="12"/>
        <v>40</v>
      </c>
      <c r="X33" s="87">
        <f t="shared" si="12"/>
        <v>38.9</v>
      </c>
      <c r="Y33" s="88">
        <f t="shared" si="12"/>
        <v>38.6</v>
      </c>
      <c r="Z33" s="62">
        <f t="shared" ref="Z33:AB36" si="13">IF(OR(W33=0,V33=0),"",W33/V33-1)</f>
        <v>8.9918256130790075E-2</v>
      </c>
      <c r="AA33" s="63">
        <f t="shared" si="13"/>
        <v>-2.750000000000008E-2</v>
      </c>
      <c r="AB33" s="64">
        <f t="shared" si="13"/>
        <v>-7.7120822622107621E-3</v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81">
        <v>38.700000000000003</v>
      </c>
      <c r="G34" s="81">
        <v>42.5</v>
      </c>
      <c r="H34" s="82">
        <v>41.4</v>
      </c>
      <c r="I34" s="82">
        <v>41</v>
      </c>
      <c r="J34" s="65">
        <f t="shared" si="10"/>
        <v>9.8191214470284116E-2</v>
      </c>
      <c r="K34" s="66">
        <f t="shared" si="10"/>
        <v>-2.5882352941176467E-2</v>
      </c>
      <c r="L34" s="67">
        <f t="shared" si="10"/>
        <v>-9.6618357487922024E-3</v>
      </c>
      <c r="N34" s="81"/>
      <c r="O34" s="81"/>
      <c r="P34" s="82"/>
      <c r="Q34" s="82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89">
        <f t="shared" si="12"/>
        <v>38.700000000000003</v>
      </c>
      <c r="W34" s="90">
        <f t="shared" si="12"/>
        <v>42.5</v>
      </c>
      <c r="X34" s="90">
        <f t="shared" si="12"/>
        <v>41.4</v>
      </c>
      <c r="Y34" s="91">
        <f t="shared" si="12"/>
        <v>41</v>
      </c>
      <c r="Z34" s="65">
        <f t="shared" si="13"/>
        <v>9.8191214470284116E-2</v>
      </c>
      <c r="AA34" s="66">
        <f t="shared" si="13"/>
        <v>-2.5882352941176467E-2</v>
      </c>
      <c r="AB34" s="67">
        <f t="shared" si="13"/>
        <v>-9.6618357487922024E-3</v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98">
        <f>F26+F27+F28-F29-F30</f>
        <v>75.400000000000006</v>
      </c>
      <c r="G35" s="98">
        <f>G26+G27+G28-G29-G30</f>
        <v>82.500000000000014</v>
      </c>
      <c r="H35" s="98">
        <f>H26+H27+H28-H29-H30</f>
        <v>80.3</v>
      </c>
      <c r="I35" s="98">
        <f>I26+I27+I28-I29-I30</f>
        <v>79.599999999999994</v>
      </c>
      <c r="J35" s="68">
        <f t="shared" si="10"/>
        <v>9.4164456233421845E-2</v>
      </c>
      <c r="K35" s="69">
        <f t="shared" si="10"/>
        <v>-2.6666666666666838E-2</v>
      </c>
      <c r="L35" s="70">
        <f t="shared" si="10"/>
        <v>-8.7173100871731357E-3</v>
      </c>
      <c r="M35" s="7"/>
      <c r="N35" s="98"/>
      <c r="O35" s="98"/>
      <c r="P35" s="98"/>
      <c r="Q35" s="98"/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7"/>
      <c r="V35" s="98">
        <f>+V33+V34</f>
        <v>75.400000000000006</v>
      </c>
      <c r="W35" s="99">
        <f>+W33+W34</f>
        <v>82.5</v>
      </c>
      <c r="X35" s="99">
        <f>+X33+X34</f>
        <v>80.3</v>
      </c>
      <c r="Y35" s="100">
        <f>+Y33+Y34</f>
        <v>79.599999999999994</v>
      </c>
      <c r="Z35" s="68">
        <f t="shared" si="13"/>
        <v>9.4164456233421623E-2</v>
      </c>
      <c r="AA35" s="69">
        <f t="shared" si="13"/>
        <v>-2.6666666666666727E-2</v>
      </c>
      <c r="AB35" s="70">
        <f t="shared" si="13"/>
        <v>-8.7173100871731357E-3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84">
        <v>8</v>
      </c>
      <c r="G36" s="84">
        <v>8.6</v>
      </c>
      <c r="H36" s="85">
        <v>8.1</v>
      </c>
      <c r="I36" s="85">
        <v>8</v>
      </c>
      <c r="J36" s="68">
        <f t="shared" si="10"/>
        <v>7.4999999999999956E-2</v>
      </c>
      <c r="K36" s="69">
        <f t="shared" si="10"/>
        <v>-5.8139534883720922E-2</v>
      </c>
      <c r="L36" s="70">
        <f t="shared" si="10"/>
        <v>-1.2345679012345623E-2</v>
      </c>
      <c r="N36" s="83"/>
      <c r="O36" s="83"/>
      <c r="P36" s="83"/>
      <c r="Q36" s="83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95">
        <f>+F36+N36</f>
        <v>8</v>
      </c>
      <c r="W36" s="96">
        <f>+G36+O36</f>
        <v>8.6</v>
      </c>
      <c r="X36" s="96">
        <f>+H36+P36</f>
        <v>8.1</v>
      </c>
      <c r="Y36" s="97">
        <f>+I36+Q36</f>
        <v>8</v>
      </c>
      <c r="Z36" s="68">
        <f t="shared" si="13"/>
        <v>7.4999999999999956E-2</v>
      </c>
      <c r="AA36" s="69">
        <f t="shared" si="13"/>
        <v>-5.8139534883720922E-2</v>
      </c>
      <c r="AB36" s="70">
        <f t="shared" si="13"/>
        <v>-1.2345679012345623E-2</v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139"/>
      <c r="O37" s="139"/>
      <c r="P37" s="139"/>
      <c r="Q37" s="139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0">
        <f>F26+F27+F28-F29-F30</f>
        <v>75.400000000000006</v>
      </c>
      <c r="G38" s="140">
        <f>G26+G27+G28-G29-G30</f>
        <v>82.500000000000014</v>
      </c>
      <c r="H38" s="140">
        <f>H26+H27+H28-H29-H30</f>
        <v>80.3</v>
      </c>
      <c r="I38" s="140">
        <f>I26+I27+I28-I29-I30</f>
        <v>79.599999999999994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102">
        <v>327.36</v>
      </c>
      <c r="G42" s="102">
        <v>327.14999999999998</v>
      </c>
      <c r="H42" s="103">
        <v>332.41</v>
      </c>
      <c r="I42" s="103">
        <v>332</v>
      </c>
      <c r="J42" s="62">
        <f t="shared" ref="J42:L44" si="14">IF(OR(G42=0,F42=0),"",G42/F42-1)</f>
        <v>-6.4149560117310322E-4</v>
      </c>
      <c r="K42" s="63">
        <f t="shared" si="14"/>
        <v>1.6078251566559842E-2</v>
      </c>
      <c r="L42" s="64">
        <f t="shared" si="14"/>
        <v>-1.2334165638819838E-3</v>
      </c>
      <c r="N42" s="101"/>
      <c r="O42" s="102"/>
      <c r="P42" s="102"/>
      <c r="Q42" s="103"/>
      <c r="R42" s="62" t="str">
        <f t="shared" ref="R42:T44" si="15">IF(OR(O42=0,N42=0),"",O42/N42-1)</f>
        <v/>
      </c>
      <c r="S42" s="63" t="str">
        <f t="shared" si="15"/>
        <v/>
      </c>
      <c r="T42" s="64" t="str">
        <f t="shared" si="15"/>
        <v/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105">
        <v>326.27</v>
      </c>
      <c r="G43" s="105">
        <v>326.86</v>
      </c>
      <c r="H43" s="106">
        <v>330</v>
      </c>
      <c r="I43" s="106">
        <v>332</v>
      </c>
      <c r="J43" s="65">
        <f t="shared" si="14"/>
        <v>1.8083182640145079E-3</v>
      </c>
      <c r="K43" s="66">
        <f t="shared" si="14"/>
        <v>9.6065593832221907E-3</v>
      </c>
      <c r="L43" s="67">
        <f t="shared" si="14"/>
        <v>6.0606060606060996E-3</v>
      </c>
      <c r="N43" s="104"/>
      <c r="O43" s="105"/>
      <c r="P43" s="105"/>
      <c r="Q43" s="106"/>
      <c r="R43" s="65" t="str">
        <f t="shared" si="15"/>
        <v/>
      </c>
      <c r="S43" s="66" t="str">
        <f t="shared" si="15"/>
        <v/>
      </c>
      <c r="T43" s="67" t="str">
        <f t="shared" si="15"/>
        <v/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326.815</v>
      </c>
      <c r="G44" s="108">
        <f>(G42+G43)/2</f>
        <v>327.005</v>
      </c>
      <c r="H44" s="108">
        <f>(H42+H43)/2</f>
        <v>331.20500000000004</v>
      </c>
      <c r="I44" s="109">
        <f>(I42+I43)/2</f>
        <v>332</v>
      </c>
      <c r="J44" s="68">
        <f t="shared" si="14"/>
        <v>5.8136866422908717E-4</v>
      </c>
      <c r="K44" s="69">
        <f t="shared" si="14"/>
        <v>1.2843840308252252E-2</v>
      </c>
      <c r="L44" s="70">
        <f t="shared" si="14"/>
        <v>2.4003260820335548E-3</v>
      </c>
      <c r="M44" s="7"/>
      <c r="N44" s="107">
        <f>(N42+N43)/2</f>
        <v>0</v>
      </c>
      <c r="O44" s="108">
        <f>(O42+O43)/2</f>
        <v>0</v>
      </c>
      <c r="P44" s="108">
        <f>(P42+P43)/2</f>
        <v>0</v>
      </c>
      <c r="Q44" s="109">
        <f>(Q42+Q43)/2</f>
        <v>0</v>
      </c>
      <c r="R44" s="68" t="str">
        <f t="shared" si="15"/>
        <v/>
      </c>
      <c r="S44" s="69" t="str">
        <f t="shared" si="15"/>
        <v/>
      </c>
      <c r="T44" s="70" t="str">
        <f t="shared" si="15"/>
        <v/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2">
        <v>255.42</v>
      </c>
      <c r="G48" s="102">
        <v>228.27</v>
      </c>
      <c r="H48" s="103">
        <v>234.33</v>
      </c>
      <c r="I48" s="103">
        <v>237</v>
      </c>
      <c r="J48" s="62">
        <f t="shared" ref="J48:L50" si="16">IF(OR(G48=0,F48=0),"",G48/F48-1)</f>
        <v>-0.10629551327225739</v>
      </c>
      <c r="K48" s="63">
        <f t="shared" si="16"/>
        <v>2.6547509528190405E-2</v>
      </c>
      <c r="L48" s="64">
        <f t="shared" si="16"/>
        <v>1.1394187684035328E-2</v>
      </c>
      <c r="N48" s="101"/>
      <c r="O48" s="102"/>
      <c r="P48" s="102"/>
      <c r="Q48" s="103"/>
      <c r="R48" s="62" t="str">
        <f t="shared" ref="R48:T50" si="17">IF(OR(O48=0,N48=0),"",O48/N48-1)</f>
        <v/>
      </c>
      <c r="S48" s="63" t="str">
        <f t="shared" si="17"/>
        <v/>
      </c>
      <c r="T48" s="64" t="str">
        <f t="shared" si="17"/>
        <v/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5">
        <v>264.75</v>
      </c>
      <c r="G49" s="105">
        <v>230.51</v>
      </c>
      <c r="H49" s="106">
        <v>235</v>
      </c>
      <c r="I49" s="106">
        <v>239</v>
      </c>
      <c r="J49" s="65">
        <f t="shared" si="16"/>
        <v>-0.12932955618508035</v>
      </c>
      <c r="K49" s="66">
        <f t="shared" si="16"/>
        <v>1.9478547568435145E-2</v>
      </c>
      <c r="L49" s="67">
        <f t="shared" si="16"/>
        <v>1.7021276595744705E-2</v>
      </c>
      <c r="N49" s="104"/>
      <c r="O49" s="105"/>
      <c r="P49" s="105"/>
      <c r="Q49" s="106"/>
      <c r="R49" s="65" t="str">
        <f t="shared" si="17"/>
        <v/>
      </c>
      <c r="S49" s="66" t="str">
        <f t="shared" si="17"/>
        <v/>
      </c>
      <c r="T49" s="67" t="str">
        <f t="shared" si="17"/>
        <v/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f>(F48+F49)/2</f>
        <v>260.08499999999998</v>
      </c>
      <c r="G50" s="108">
        <f>(G48+G49)/2</f>
        <v>229.39</v>
      </c>
      <c r="H50" s="108">
        <f>(H48+H49)/2</f>
        <v>234.66500000000002</v>
      </c>
      <c r="I50" s="109">
        <f>(I48+I49)/2</f>
        <v>238</v>
      </c>
      <c r="J50" s="68">
        <f t="shared" si="16"/>
        <v>-0.11801910913739733</v>
      </c>
      <c r="K50" s="69">
        <f t="shared" si="16"/>
        <v>2.2995771393696574E-2</v>
      </c>
      <c r="L50" s="70">
        <f t="shared" si="16"/>
        <v>1.4211748662987578E-2</v>
      </c>
      <c r="M50" s="7"/>
      <c r="N50" s="107">
        <f>(N48+N49)/2</f>
        <v>0</v>
      </c>
      <c r="O50" s="108">
        <f>(O48+O49)/2</f>
        <v>0</v>
      </c>
      <c r="P50" s="108">
        <f>(P48+P49)/2</f>
        <v>0</v>
      </c>
      <c r="Q50" s="109">
        <f>(Q48+Q49)/2</f>
        <v>0</v>
      </c>
      <c r="R50" s="68" t="str">
        <f t="shared" si="17"/>
        <v/>
      </c>
      <c r="S50" s="69" t="str">
        <f t="shared" si="17"/>
        <v/>
      </c>
      <c r="T50" s="70" t="str">
        <f t="shared" si="17"/>
        <v/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F44:T44 V33:AB33 V36:Y36 V34:Y34 V30:Y30 V24:Y25 V29:AB29 V27:Y28 V18:Y21 V15:Y16 U26:Y26 M26 R17:AB17 P26:Q26 F17:M17 F35:AB35">
    <cfRule type="cellIs" dxfId="104" priority="8" stopIfTrue="1" operator="equal">
      <formula>0</formula>
    </cfRule>
  </conditionalFormatting>
  <conditionalFormatting sqref="N50:T50">
    <cfRule type="cellIs" dxfId="103" priority="7" stopIfTrue="1" operator="equal">
      <formula>0</formula>
    </cfRule>
  </conditionalFormatting>
  <conditionalFormatting sqref="F12:I12">
    <cfRule type="cellIs" dxfId="102" priority="6" stopIfTrue="1" operator="equal">
      <formula>0</formula>
    </cfRule>
  </conditionalFormatting>
  <conditionalFormatting sqref="N17:O17">
    <cfRule type="cellIs" dxfId="101" priority="5" stopIfTrue="1" operator="equal">
      <formula>0</formula>
    </cfRule>
  </conditionalFormatting>
  <conditionalFormatting sqref="F26:I26">
    <cfRule type="cellIs" dxfId="100" priority="4" stopIfTrue="1" operator="equal">
      <formula>0</formula>
    </cfRule>
  </conditionalFormatting>
  <conditionalFormatting sqref="P17:Q17">
    <cfRule type="cellIs" dxfId="99" priority="3" stopIfTrue="1" operator="equal">
      <formula>0</formula>
    </cfRule>
  </conditionalFormatting>
  <conditionalFormatting sqref="O26">
    <cfRule type="cellIs" dxfId="98" priority="2" stopIfTrue="1" operator="equal">
      <formula>0</formula>
    </cfRule>
  </conditionalFormatting>
  <conditionalFormatting sqref="N26">
    <cfRule type="cellIs" dxfId="97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M58"/>
  <sheetViews>
    <sheetView showGridLines="0" topLeftCell="A22" zoomScale="50" zoomScaleNormal="50" workbookViewId="0">
      <selection activeCell="D45" sqref="D45"/>
    </sheetView>
  </sheetViews>
  <sheetFormatPr defaultColWidth="9" defaultRowHeight="15.75" x14ac:dyDescent="0.25"/>
  <cols>
    <col min="1" max="1" width="2.625" style="183" customWidth="1"/>
    <col min="2" max="2" width="18.875" style="183" customWidth="1"/>
    <col min="3" max="3" width="26.625" style="183" customWidth="1"/>
    <col min="4" max="4" width="14.375" style="183" customWidth="1"/>
    <col min="5" max="5" width="3.125" style="183" customWidth="1"/>
    <col min="6" max="9" width="12.375" style="183" customWidth="1"/>
    <col min="10" max="10" width="7" style="183" customWidth="1"/>
    <col min="11" max="11" width="8.875" style="183" customWidth="1"/>
    <col min="12" max="12" width="7" style="183" customWidth="1"/>
    <col min="13" max="13" width="3.125" style="183" customWidth="1"/>
    <col min="14" max="17" width="12.375" style="183" customWidth="1"/>
    <col min="18" max="20" width="7" style="183" customWidth="1"/>
    <col min="21" max="21" width="3" style="183" customWidth="1"/>
    <col min="22" max="25" width="12.375" style="183" customWidth="1"/>
    <col min="26" max="28" width="7" style="183" customWidth="1"/>
    <col min="29" max="256" width="9" style="183"/>
    <col min="257" max="257" width="2.625" style="183" customWidth="1"/>
    <col min="258" max="258" width="18.875" style="183" customWidth="1"/>
    <col min="259" max="259" width="26.625" style="183" customWidth="1"/>
    <col min="260" max="260" width="14.375" style="183" customWidth="1"/>
    <col min="261" max="261" width="3.125" style="183" customWidth="1"/>
    <col min="262" max="265" width="12.375" style="183" customWidth="1"/>
    <col min="266" max="266" width="7" style="183" customWidth="1"/>
    <col min="267" max="267" width="8.875" style="183" customWidth="1"/>
    <col min="268" max="268" width="7" style="183" customWidth="1"/>
    <col min="269" max="269" width="3.125" style="183" customWidth="1"/>
    <col min="270" max="273" width="12.375" style="183" customWidth="1"/>
    <col min="274" max="276" width="7" style="183" customWidth="1"/>
    <col min="277" max="277" width="3" style="183" customWidth="1"/>
    <col min="278" max="281" width="12.375" style="183" customWidth="1"/>
    <col min="282" max="284" width="7" style="183" customWidth="1"/>
    <col min="285" max="512" width="9" style="183"/>
    <col min="513" max="513" width="2.625" style="183" customWidth="1"/>
    <col min="514" max="514" width="18.875" style="183" customWidth="1"/>
    <col min="515" max="515" width="26.625" style="183" customWidth="1"/>
    <col min="516" max="516" width="14.375" style="183" customWidth="1"/>
    <col min="517" max="517" width="3.125" style="183" customWidth="1"/>
    <col min="518" max="521" width="12.375" style="183" customWidth="1"/>
    <col min="522" max="522" width="7" style="183" customWidth="1"/>
    <col min="523" max="523" width="8.875" style="183" customWidth="1"/>
    <col min="524" max="524" width="7" style="183" customWidth="1"/>
    <col min="525" max="525" width="3.125" style="183" customWidth="1"/>
    <col min="526" max="529" width="12.375" style="183" customWidth="1"/>
    <col min="530" max="532" width="7" style="183" customWidth="1"/>
    <col min="533" max="533" width="3" style="183" customWidth="1"/>
    <col min="534" max="537" width="12.375" style="183" customWidth="1"/>
    <col min="538" max="540" width="7" style="183" customWidth="1"/>
    <col min="541" max="768" width="9" style="183"/>
    <col min="769" max="769" width="2.625" style="183" customWidth="1"/>
    <col min="770" max="770" width="18.875" style="183" customWidth="1"/>
    <col min="771" max="771" width="26.625" style="183" customWidth="1"/>
    <col min="772" max="772" width="14.375" style="183" customWidth="1"/>
    <col min="773" max="773" width="3.125" style="183" customWidth="1"/>
    <col min="774" max="777" width="12.375" style="183" customWidth="1"/>
    <col min="778" max="778" width="7" style="183" customWidth="1"/>
    <col min="779" max="779" width="8.875" style="183" customWidth="1"/>
    <col min="780" max="780" width="7" style="183" customWidth="1"/>
    <col min="781" max="781" width="3.125" style="183" customWidth="1"/>
    <col min="782" max="785" width="12.375" style="183" customWidth="1"/>
    <col min="786" max="788" width="7" style="183" customWidth="1"/>
    <col min="789" max="789" width="3" style="183" customWidth="1"/>
    <col min="790" max="793" width="12.375" style="183" customWidth="1"/>
    <col min="794" max="796" width="7" style="183" customWidth="1"/>
    <col min="797" max="1024" width="9" style="183"/>
    <col min="1025" max="1025" width="2.625" style="183" customWidth="1"/>
    <col min="1026" max="1026" width="18.875" style="183" customWidth="1"/>
    <col min="1027" max="1027" width="26.625" style="183" customWidth="1"/>
    <col min="1028" max="1028" width="14.375" style="183" customWidth="1"/>
    <col min="1029" max="1029" width="3.125" style="183" customWidth="1"/>
    <col min="1030" max="1033" width="12.375" style="183" customWidth="1"/>
    <col min="1034" max="1034" width="7" style="183" customWidth="1"/>
    <col min="1035" max="1035" width="8.875" style="183" customWidth="1"/>
    <col min="1036" max="1036" width="7" style="183" customWidth="1"/>
    <col min="1037" max="1037" width="3.125" style="183" customWidth="1"/>
    <col min="1038" max="1041" width="12.375" style="183" customWidth="1"/>
    <col min="1042" max="1044" width="7" style="183" customWidth="1"/>
    <col min="1045" max="1045" width="3" style="183" customWidth="1"/>
    <col min="1046" max="1049" width="12.375" style="183" customWidth="1"/>
    <col min="1050" max="1052" width="7" style="183" customWidth="1"/>
    <col min="1053" max="1280" width="9" style="183"/>
    <col min="1281" max="1281" width="2.625" style="183" customWidth="1"/>
    <col min="1282" max="1282" width="18.875" style="183" customWidth="1"/>
    <col min="1283" max="1283" width="26.625" style="183" customWidth="1"/>
    <col min="1284" max="1284" width="14.375" style="183" customWidth="1"/>
    <col min="1285" max="1285" width="3.125" style="183" customWidth="1"/>
    <col min="1286" max="1289" width="12.375" style="183" customWidth="1"/>
    <col min="1290" max="1290" width="7" style="183" customWidth="1"/>
    <col min="1291" max="1291" width="8.875" style="183" customWidth="1"/>
    <col min="1292" max="1292" width="7" style="183" customWidth="1"/>
    <col min="1293" max="1293" width="3.125" style="183" customWidth="1"/>
    <col min="1294" max="1297" width="12.375" style="183" customWidth="1"/>
    <col min="1298" max="1300" width="7" style="183" customWidth="1"/>
    <col min="1301" max="1301" width="3" style="183" customWidth="1"/>
    <col min="1302" max="1305" width="12.375" style="183" customWidth="1"/>
    <col min="1306" max="1308" width="7" style="183" customWidth="1"/>
    <col min="1309" max="1536" width="9" style="183"/>
    <col min="1537" max="1537" width="2.625" style="183" customWidth="1"/>
    <col min="1538" max="1538" width="18.875" style="183" customWidth="1"/>
    <col min="1539" max="1539" width="26.625" style="183" customWidth="1"/>
    <col min="1540" max="1540" width="14.375" style="183" customWidth="1"/>
    <col min="1541" max="1541" width="3.125" style="183" customWidth="1"/>
    <col min="1542" max="1545" width="12.375" style="183" customWidth="1"/>
    <col min="1546" max="1546" width="7" style="183" customWidth="1"/>
    <col min="1547" max="1547" width="8.875" style="183" customWidth="1"/>
    <col min="1548" max="1548" width="7" style="183" customWidth="1"/>
    <col min="1549" max="1549" width="3.125" style="183" customWidth="1"/>
    <col min="1550" max="1553" width="12.375" style="183" customWidth="1"/>
    <col min="1554" max="1556" width="7" style="183" customWidth="1"/>
    <col min="1557" max="1557" width="3" style="183" customWidth="1"/>
    <col min="1558" max="1561" width="12.375" style="183" customWidth="1"/>
    <col min="1562" max="1564" width="7" style="183" customWidth="1"/>
    <col min="1565" max="1792" width="9" style="183"/>
    <col min="1793" max="1793" width="2.625" style="183" customWidth="1"/>
    <col min="1794" max="1794" width="18.875" style="183" customWidth="1"/>
    <col min="1795" max="1795" width="26.625" style="183" customWidth="1"/>
    <col min="1796" max="1796" width="14.375" style="183" customWidth="1"/>
    <col min="1797" max="1797" width="3.125" style="183" customWidth="1"/>
    <col min="1798" max="1801" width="12.375" style="183" customWidth="1"/>
    <col min="1802" max="1802" width="7" style="183" customWidth="1"/>
    <col min="1803" max="1803" width="8.875" style="183" customWidth="1"/>
    <col min="1804" max="1804" width="7" style="183" customWidth="1"/>
    <col min="1805" max="1805" width="3.125" style="183" customWidth="1"/>
    <col min="1806" max="1809" width="12.375" style="183" customWidth="1"/>
    <col min="1810" max="1812" width="7" style="183" customWidth="1"/>
    <col min="1813" max="1813" width="3" style="183" customWidth="1"/>
    <col min="1814" max="1817" width="12.375" style="183" customWidth="1"/>
    <col min="1818" max="1820" width="7" style="183" customWidth="1"/>
    <col min="1821" max="2048" width="9" style="183"/>
    <col min="2049" max="2049" width="2.625" style="183" customWidth="1"/>
    <col min="2050" max="2050" width="18.875" style="183" customWidth="1"/>
    <col min="2051" max="2051" width="26.625" style="183" customWidth="1"/>
    <col min="2052" max="2052" width="14.375" style="183" customWidth="1"/>
    <col min="2053" max="2053" width="3.125" style="183" customWidth="1"/>
    <col min="2054" max="2057" width="12.375" style="183" customWidth="1"/>
    <col min="2058" max="2058" width="7" style="183" customWidth="1"/>
    <col min="2059" max="2059" width="8.875" style="183" customWidth="1"/>
    <col min="2060" max="2060" width="7" style="183" customWidth="1"/>
    <col min="2061" max="2061" width="3.125" style="183" customWidth="1"/>
    <col min="2062" max="2065" width="12.375" style="183" customWidth="1"/>
    <col min="2066" max="2068" width="7" style="183" customWidth="1"/>
    <col min="2069" max="2069" width="3" style="183" customWidth="1"/>
    <col min="2070" max="2073" width="12.375" style="183" customWidth="1"/>
    <col min="2074" max="2076" width="7" style="183" customWidth="1"/>
    <col min="2077" max="2304" width="9" style="183"/>
    <col min="2305" max="2305" width="2.625" style="183" customWidth="1"/>
    <col min="2306" max="2306" width="18.875" style="183" customWidth="1"/>
    <col min="2307" max="2307" width="26.625" style="183" customWidth="1"/>
    <col min="2308" max="2308" width="14.375" style="183" customWidth="1"/>
    <col min="2309" max="2309" width="3.125" style="183" customWidth="1"/>
    <col min="2310" max="2313" width="12.375" style="183" customWidth="1"/>
    <col min="2314" max="2314" width="7" style="183" customWidth="1"/>
    <col min="2315" max="2315" width="8.875" style="183" customWidth="1"/>
    <col min="2316" max="2316" width="7" style="183" customWidth="1"/>
    <col min="2317" max="2317" width="3.125" style="183" customWidth="1"/>
    <col min="2318" max="2321" width="12.375" style="183" customWidth="1"/>
    <col min="2322" max="2324" width="7" style="183" customWidth="1"/>
    <col min="2325" max="2325" width="3" style="183" customWidth="1"/>
    <col min="2326" max="2329" width="12.375" style="183" customWidth="1"/>
    <col min="2330" max="2332" width="7" style="183" customWidth="1"/>
    <col min="2333" max="2560" width="9" style="183"/>
    <col min="2561" max="2561" width="2.625" style="183" customWidth="1"/>
    <col min="2562" max="2562" width="18.875" style="183" customWidth="1"/>
    <col min="2563" max="2563" width="26.625" style="183" customWidth="1"/>
    <col min="2564" max="2564" width="14.375" style="183" customWidth="1"/>
    <col min="2565" max="2565" width="3.125" style="183" customWidth="1"/>
    <col min="2566" max="2569" width="12.375" style="183" customWidth="1"/>
    <col min="2570" max="2570" width="7" style="183" customWidth="1"/>
    <col min="2571" max="2571" width="8.875" style="183" customWidth="1"/>
    <col min="2572" max="2572" width="7" style="183" customWidth="1"/>
    <col min="2573" max="2573" width="3.125" style="183" customWidth="1"/>
    <col min="2574" max="2577" width="12.375" style="183" customWidth="1"/>
    <col min="2578" max="2580" width="7" style="183" customWidth="1"/>
    <col min="2581" max="2581" width="3" style="183" customWidth="1"/>
    <col min="2582" max="2585" width="12.375" style="183" customWidth="1"/>
    <col min="2586" max="2588" width="7" style="183" customWidth="1"/>
    <col min="2589" max="2816" width="9" style="183"/>
    <col min="2817" max="2817" width="2.625" style="183" customWidth="1"/>
    <col min="2818" max="2818" width="18.875" style="183" customWidth="1"/>
    <col min="2819" max="2819" width="26.625" style="183" customWidth="1"/>
    <col min="2820" max="2820" width="14.375" style="183" customWidth="1"/>
    <col min="2821" max="2821" width="3.125" style="183" customWidth="1"/>
    <col min="2822" max="2825" width="12.375" style="183" customWidth="1"/>
    <col min="2826" max="2826" width="7" style="183" customWidth="1"/>
    <col min="2827" max="2827" width="8.875" style="183" customWidth="1"/>
    <col min="2828" max="2828" width="7" style="183" customWidth="1"/>
    <col min="2829" max="2829" width="3.125" style="183" customWidth="1"/>
    <col min="2830" max="2833" width="12.375" style="183" customWidth="1"/>
    <col min="2834" max="2836" width="7" style="183" customWidth="1"/>
    <col min="2837" max="2837" width="3" style="183" customWidth="1"/>
    <col min="2838" max="2841" width="12.375" style="183" customWidth="1"/>
    <col min="2842" max="2844" width="7" style="183" customWidth="1"/>
    <col min="2845" max="3072" width="9" style="183"/>
    <col min="3073" max="3073" width="2.625" style="183" customWidth="1"/>
    <col min="3074" max="3074" width="18.875" style="183" customWidth="1"/>
    <col min="3075" max="3075" width="26.625" style="183" customWidth="1"/>
    <col min="3076" max="3076" width="14.375" style="183" customWidth="1"/>
    <col min="3077" max="3077" width="3.125" style="183" customWidth="1"/>
    <col min="3078" max="3081" width="12.375" style="183" customWidth="1"/>
    <col min="3082" max="3082" width="7" style="183" customWidth="1"/>
    <col min="3083" max="3083" width="8.875" style="183" customWidth="1"/>
    <col min="3084" max="3084" width="7" style="183" customWidth="1"/>
    <col min="3085" max="3085" width="3.125" style="183" customWidth="1"/>
    <col min="3086" max="3089" width="12.375" style="183" customWidth="1"/>
    <col min="3090" max="3092" width="7" style="183" customWidth="1"/>
    <col min="3093" max="3093" width="3" style="183" customWidth="1"/>
    <col min="3094" max="3097" width="12.375" style="183" customWidth="1"/>
    <col min="3098" max="3100" width="7" style="183" customWidth="1"/>
    <col min="3101" max="3328" width="9" style="183"/>
    <col min="3329" max="3329" width="2.625" style="183" customWidth="1"/>
    <col min="3330" max="3330" width="18.875" style="183" customWidth="1"/>
    <col min="3331" max="3331" width="26.625" style="183" customWidth="1"/>
    <col min="3332" max="3332" width="14.375" style="183" customWidth="1"/>
    <col min="3333" max="3333" width="3.125" style="183" customWidth="1"/>
    <col min="3334" max="3337" width="12.375" style="183" customWidth="1"/>
    <col min="3338" max="3338" width="7" style="183" customWidth="1"/>
    <col min="3339" max="3339" width="8.875" style="183" customWidth="1"/>
    <col min="3340" max="3340" width="7" style="183" customWidth="1"/>
    <col min="3341" max="3341" width="3.125" style="183" customWidth="1"/>
    <col min="3342" max="3345" width="12.375" style="183" customWidth="1"/>
    <col min="3346" max="3348" width="7" style="183" customWidth="1"/>
    <col min="3349" max="3349" width="3" style="183" customWidth="1"/>
    <col min="3350" max="3353" width="12.375" style="183" customWidth="1"/>
    <col min="3354" max="3356" width="7" style="183" customWidth="1"/>
    <col min="3357" max="3584" width="9" style="183"/>
    <col min="3585" max="3585" width="2.625" style="183" customWidth="1"/>
    <col min="3586" max="3586" width="18.875" style="183" customWidth="1"/>
    <col min="3587" max="3587" width="26.625" style="183" customWidth="1"/>
    <col min="3588" max="3588" width="14.375" style="183" customWidth="1"/>
    <col min="3589" max="3589" width="3.125" style="183" customWidth="1"/>
    <col min="3590" max="3593" width="12.375" style="183" customWidth="1"/>
    <col min="3594" max="3594" width="7" style="183" customWidth="1"/>
    <col min="3595" max="3595" width="8.875" style="183" customWidth="1"/>
    <col min="3596" max="3596" width="7" style="183" customWidth="1"/>
    <col min="3597" max="3597" width="3.125" style="183" customWidth="1"/>
    <col min="3598" max="3601" width="12.375" style="183" customWidth="1"/>
    <col min="3602" max="3604" width="7" style="183" customWidth="1"/>
    <col min="3605" max="3605" width="3" style="183" customWidth="1"/>
    <col min="3606" max="3609" width="12.375" style="183" customWidth="1"/>
    <col min="3610" max="3612" width="7" style="183" customWidth="1"/>
    <col min="3613" max="3840" width="9" style="183"/>
    <col min="3841" max="3841" width="2.625" style="183" customWidth="1"/>
    <col min="3842" max="3842" width="18.875" style="183" customWidth="1"/>
    <col min="3843" max="3843" width="26.625" style="183" customWidth="1"/>
    <col min="3844" max="3844" width="14.375" style="183" customWidth="1"/>
    <col min="3845" max="3845" width="3.125" style="183" customWidth="1"/>
    <col min="3846" max="3849" width="12.375" style="183" customWidth="1"/>
    <col min="3850" max="3850" width="7" style="183" customWidth="1"/>
    <col min="3851" max="3851" width="8.875" style="183" customWidth="1"/>
    <col min="3852" max="3852" width="7" style="183" customWidth="1"/>
    <col min="3853" max="3853" width="3.125" style="183" customWidth="1"/>
    <col min="3854" max="3857" width="12.375" style="183" customWidth="1"/>
    <col min="3858" max="3860" width="7" style="183" customWidth="1"/>
    <col min="3861" max="3861" width="3" style="183" customWidth="1"/>
    <col min="3862" max="3865" width="12.375" style="183" customWidth="1"/>
    <col min="3866" max="3868" width="7" style="183" customWidth="1"/>
    <col min="3869" max="4096" width="9" style="183"/>
    <col min="4097" max="4097" width="2.625" style="183" customWidth="1"/>
    <col min="4098" max="4098" width="18.875" style="183" customWidth="1"/>
    <col min="4099" max="4099" width="26.625" style="183" customWidth="1"/>
    <col min="4100" max="4100" width="14.375" style="183" customWidth="1"/>
    <col min="4101" max="4101" width="3.125" style="183" customWidth="1"/>
    <col min="4102" max="4105" width="12.375" style="183" customWidth="1"/>
    <col min="4106" max="4106" width="7" style="183" customWidth="1"/>
    <col min="4107" max="4107" width="8.875" style="183" customWidth="1"/>
    <col min="4108" max="4108" width="7" style="183" customWidth="1"/>
    <col min="4109" max="4109" width="3.125" style="183" customWidth="1"/>
    <col min="4110" max="4113" width="12.375" style="183" customWidth="1"/>
    <col min="4114" max="4116" width="7" style="183" customWidth="1"/>
    <col min="4117" max="4117" width="3" style="183" customWidth="1"/>
    <col min="4118" max="4121" width="12.375" style="183" customWidth="1"/>
    <col min="4122" max="4124" width="7" style="183" customWidth="1"/>
    <col min="4125" max="4352" width="9" style="183"/>
    <col min="4353" max="4353" width="2.625" style="183" customWidth="1"/>
    <col min="4354" max="4354" width="18.875" style="183" customWidth="1"/>
    <col min="4355" max="4355" width="26.625" style="183" customWidth="1"/>
    <col min="4356" max="4356" width="14.375" style="183" customWidth="1"/>
    <col min="4357" max="4357" width="3.125" style="183" customWidth="1"/>
    <col min="4358" max="4361" width="12.375" style="183" customWidth="1"/>
    <col min="4362" max="4362" width="7" style="183" customWidth="1"/>
    <col min="4363" max="4363" width="8.875" style="183" customWidth="1"/>
    <col min="4364" max="4364" width="7" style="183" customWidth="1"/>
    <col min="4365" max="4365" width="3.125" style="183" customWidth="1"/>
    <col min="4366" max="4369" width="12.375" style="183" customWidth="1"/>
    <col min="4370" max="4372" width="7" style="183" customWidth="1"/>
    <col min="4373" max="4373" width="3" style="183" customWidth="1"/>
    <col min="4374" max="4377" width="12.375" style="183" customWidth="1"/>
    <col min="4378" max="4380" width="7" style="183" customWidth="1"/>
    <col min="4381" max="4608" width="9" style="183"/>
    <col min="4609" max="4609" width="2.625" style="183" customWidth="1"/>
    <col min="4610" max="4610" width="18.875" style="183" customWidth="1"/>
    <col min="4611" max="4611" width="26.625" style="183" customWidth="1"/>
    <col min="4612" max="4612" width="14.375" style="183" customWidth="1"/>
    <col min="4613" max="4613" width="3.125" style="183" customWidth="1"/>
    <col min="4614" max="4617" width="12.375" style="183" customWidth="1"/>
    <col min="4618" max="4618" width="7" style="183" customWidth="1"/>
    <col min="4619" max="4619" width="8.875" style="183" customWidth="1"/>
    <col min="4620" max="4620" width="7" style="183" customWidth="1"/>
    <col min="4621" max="4621" width="3.125" style="183" customWidth="1"/>
    <col min="4622" max="4625" width="12.375" style="183" customWidth="1"/>
    <col min="4626" max="4628" width="7" style="183" customWidth="1"/>
    <col min="4629" max="4629" width="3" style="183" customWidth="1"/>
    <col min="4630" max="4633" width="12.375" style="183" customWidth="1"/>
    <col min="4634" max="4636" width="7" style="183" customWidth="1"/>
    <col min="4637" max="4864" width="9" style="183"/>
    <col min="4865" max="4865" width="2.625" style="183" customWidth="1"/>
    <col min="4866" max="4866" width="18.875" style="183" customWidth="1"/>
    <col min="4867" max="4867" width="26.625" style="183" customWidth="1"/>
    <col min="4868" max="4868" width="14.375" style="183" customWidth="1"/>
    <col min="4869" max="4869" width="3.125" style="183" customWidth="1"/>
    <col min="4870" max="4873" width="12.375" style="183" customWidth="1"/>
    <col min="4874" max="4874" width="7" style="183" customWidth="1"/>
    <col min="4875" max="4875" width="8.875" style="183" customWidth="1"/>
    <col min="4876" max="4876" width="7" style="183" customWidth="1"/>
    <col min="4877" max="4877" width="3.125" style="183" customWidth="1"/>
    <col min="4878" max="4881" width="12.375" style="183" customWidth="1"/>
    <col min="4882" max="4884" width="7" style="183" customWidth="1"/>
    <col min="4885" max="4885" width="3" style="183" customWidth="1"/>
    <col min="4886" max="4889" width="12.375" style="183" customWidth="1"/>
    <col min="4890" max="4892" width="7" style="183" customWidth="1"/>
    <col min="4893" max="5120" width="9" style="183"/>
    <col min="5121" max="5121" width="2.625" style="183" customWidth="1"/>
    <col min="5122" max="5122" width="18.875" style="183" customWidth="1"/>
    <col min="5123" max="5123" width="26.625" style="183" customWidth="1"/>
    <col min="5124" max="5124" width="14.375" style="183" customWidth="1"/>
    <col min="5125" max="5125" width="3.125" style="183" customWidth="1"/>
    <col min="5126" max="5129" width="12.375" style="183" customWidth="1"/>
    <col min="5130" max="5130" width="7" style="183" customWidth="1"/>
    <col min="5131" max="5131" width="8.875" style="183" customWidth="1"/>
    <col min="5132" max="5132" width="7" style="183" customWidth="1"/>
    <col min="5133" max="5133" width="3.125" style="183" customWidth="1"/>
    <col min="5134" max="5137" width="12.375" style="183" customWidth="1"/>
    <col min="5138" max="5140" width="7" style="183" customWidth="1"/>
    <col min="5141" max="5141" width="3" style="183" customWidth="1"/>
    <col min="5142" max="5145" width="12.375" style="183" customWidth="1"/>
    <col min="5146" max="5148" width="7" style="183" customWidth="1"/>
    <col min="5149" max="5376" width="9" style="183"/>
    <col min="5377" max="5377" width="2.625" style="183" customWidth="1"/>
    <col min="5378" max="5378" width="18.875" style="183" customWidth="1"/>
    <col min="5379" max="5379" width="26.625" style="183" customWidth="1"/>
    <col min="5380" max="5380" width="14.375" style="183" customWidth="1"/>
    <col min="5381" max="5381" width="3.125" style="183" customWidth="1"/>
    <col min="5382" max="5385" width="12.375" style="183" customWidth="1"/>
    <col min="5386" max="5386" width="7" style="183" customWidth="1"/>
    <col min="5387" max="5387" width="8.875" style="183" customWidth="1"/>
    <col min="5388" max="5388" width="7" style="183" customWidth="1"/>
    <col min="5389" max="5389" width="3.125" style="183" customWidth="1"/>
    <col min="5390" max="5393" width="12.375" style="183" customWidth="1"/>
    <col min="5394" max="5396" width="7" style="183" customWidth="1"/>
    <col min="5397" max="5397" width="3" style="183" customWidth="1"/>
    <col min="5398" max="5401" width="12.375" style="183" customWidth="1"/>
    <col min="5402" max="5404" width="7" style="183" customWidth="1"/>
    <col min="5405" max="5632" width="9" style="183"/>
    <col min="5633" max="5633" width="2.625" style="183" customWidth="1"/>
    <col min="5634" max="5634" width="18.875" style="183" customWidth="1"/>
    <col min="5635" max="5635" width="26.625" style="183" customWidth="1"/>
    <col min="5636" max="5636" width="14.375" style="183" customWidth="1"/>
    <col min="5637" max="5637" width="3.125" style="183" customWidth="1"/>
    <col min="5638" max="5641" width="12.375" style="183" customWidth="1"/>
    <col min="5642" max="5642" width="7" style="183" customWidth="1"/>
    <col min="5643" max="5643" width="8.875" style="183" customWidth="1"/>
    <col min="5644" max="5644" width="7" style="183" customWidth="1"/>
    <col min="5645" max="5645" width="3.125" style="183" customWidth="1"/>
    <col min="5646" max="5649" width="12.375" style="183" customWidth="1"/>
    <col min="5650" max="5652" width="7" style="183" customWidth="1"/>
    <col min="5653" max="5653" width="3" style="183" customWidth="1"/>
    <col min="5654" max="5657" width="12.375" style="183" customWidth="1"/>
    <col min="5658" max="5660" width="7" style="183" customWidth="1"/>
    <col min="5661" max="5888" width="9" style="183"/>
    <col min="5889" max="5889" width="2.625" style="183" customWidth="1"/>
    <col min="5890" max="5890" width="18.875" style="183" customWidth="1"/>
    <col min="5891" max="5891" width="26.625" style="183" customWidth="1"/>
    <col min="5892" max="5892" width="14.375" style="183" customWidth="1"/>
    <col min="5893" max="5893" width="3.125" style="183" customWidth="1"/>
    <col min="5894" max="5897" width="12.375" style="183" customWidth="1"/>
    <col min="5898" max="5898" width="7" style="183" customWidth="1"/>
    <col min="5899" max="5899" width="8.875" style="183" customWidth="1"/>
    <col min="5900" max="5900" width="7" style="183" customWidth="1"/>
    <col min="5901" max="5901" width="3.125" style="183" customWidth="1"/>
    <col min="5902" max="5905" width="12.375" style="183" customWidth="1"/>
    <col min="5906" max="5908" width="7" style="183" customWidth="1"/>
    <col min="5909" max="5909" width="3" style="183" customWidth="1"/>
    <col min="5910" max="5913" width="12.375" style="183" customWidth="1"/>
    <col min="5914" max="5916" width="7" style="183" customWidth="1"/>
    <col min="5917" max="6144" width="9" style="183"/>
    <col min="6145" max="6145" width="2.625" style="183" customWidth="1"/>
    <col min="6146" max="6146" width="18.875" style="183" customWidth="1"/>
    <col min="6147" max="6147" width="26.625" style="183" customWidth="1"/>
    <col min="6148" max="6148" width="14.375" style="183" customWidth="1"/>
    <col min="6149" max="6149" width="3.125" style="183" customWidth="1"/>
    <col min="6150" max="6153" width="12.375" style="183" customWidth="1"/>
    <col min="6154" max="6154" width="7" style="183" customWidth="1"/>
    <col min="6155" max="6155" width="8.875" style="183" customWidth="1"/>
    <col min="6156" max="6156" width="7" style="183" customWidth="1"/>
    <col min="6157" max="6157" width="3.125" style="183" customWidth="1"/>
    <col min="6158" max="6161" width="12.375" style="183" customWidth="1"/>
    <col min="6162" max="6164" width="7" style="183" customWidth="1"/>
    <col min="6165" max="6165" width="3" style="183" customWidth="1"/>
    <col min="6166" max="6169" width="12.375" style="183" customWidth="1"/>
    <col min="6170" max="6172" width="7" style="183" customWidth="1"/>
    <col min="6173" max="6400" width="9" style="183"/>
    <col min="6401" max="6401" width="2.625" style="183" customWidth="1"/>
    <col min="6402" max="6402" width="18.875" style="183" customWidth="1"/>
    <col min="6403" max="6403" width="26.625" style="183" customWidth="1"/>
    <col min="6404" max="6404" width="14.375" style="183" customWidth="1"/>
    <col min="6405" max="6405" width="3.125" style="183" customWidth="1"/>
    <col min="6406" max="6409" width="12.375" style="183" customWidth="1"/>
    <col min="6410" max="6410" width="7" style="183" customWidth="1"/>
    <col min="6411" max="6411" width="8.875" style="183" customWidth="1"/>
    <col min="6412" max="6412" width="7" style="183" customWidth="1"/>
    <col min="6413" max="6413" width="3.125" style="183" customWidth="1"/>
    <col min="6414" max="6417" width="12.375" style="183" customWidth="1"/>
    <col min="6418" max="6420" width="7" style="183" customWidth="1"/>
    <col min="6421" max="6421" width="3" style="183" customWidth="1"/>
    <col min="6422" max="6425" width="12.375" style="183" customWidth="1"/>
    <col min="6426" max="6428" width="7" style="183" customWidth="1"/>
    <col min="6429" max="6656" width="9" style="183"/>
    <col min="6657" max="6657" width="2.625" style="183" customWidth="1"/>
    <col min="6658" max="6658" width="18.875" style="183" customWidth="1"/>
    <col min="6659" max="6659" width="26.625" style="183" customWidth="1"/>
    <col min="6660" max="6660" width="14.375" style="183" customWidth="1"/>
    <col min="6661" max="6661" width="3.125" style="183" customWidth="1"/>
    <col min="6662" max="6665" width="12.375" style="183" customWidth="1"/>
    <col min="6666" max="6666" width="7" style="183" customWidth="1"/>
    <col min="6667" max="6667" width="8.875" style="183" customWidth="1"/>
    <col min="6668" max="6668" width="7" style="183" customWidth="1"/>
    <col min="6669" max="6669" width="3.125" style="183" customWidth="1"/>
    <col min="6670" max="6673" width="12.375" style="183" customWidth="1"/>
    <col min="6674" max="6676" width="7" style="183" customWidth="1"/>
    <col min="6677" max="6677" width="3" style="183" customWidth="1"/>
    <col min="6678" max="6681" width="12.375" style="183" customWidth="1"/>
    <col min="6682" max="6684" width="7" style="183" customWidth="1"/>
    <col min="6685" max="6912" width="9" style="183"/>
    <col min="6913" max="6913" width="2.625" style="183" customWidth="1"/>
    <col min="6914" max="6914" width="18.875" style="183" customWidth="1"/>
    <col min="6915" max="6915" width="26.625" style="183" customWidth="1"/>
    <col min="6916" max="6916" width="14.375" style="183" customWidth="1"/>
    <col min="6917" max="6917" width="3.125" style="183" customWidth="1"/>
    <col min="6918" max="6921" width="12.375" style="183" customWidth="1"/>
    <col min="6922" max="6922" width="7" style="183" customWidth="1"/>
    <col min="6923" max="6923" width="8.875" style="183" customWidth="1"/>
    <col min="6924" max="6924" width="7" style="183" customWidth="1"/>
    <col min="6925" max="6925" width="3.125" style="183" customWidth="1"/>
    <col min="6926" max="6929" width="12.375" style="183" customWidth="1"/>
    <col min="6930" max="6932" width="7" style="183" customWidth="1"/>
    <col min="6933" max="6933" width="3" style="183" customWidth="1"/>
    <col min="6934" max="6937" width="12.375" style="183" customWidth="1"/>
    <col min="6938" max="6940" width="7" style="183" customWidth="1"/>
    <col min="6941" max="7168" width="9" style="183"/>
    <col min="7169" max="7169" width="2.625" style="183" customWidth="1"/>
    <col min="7170" max="7170" width="18.875" style="183" customWidth="1"/>
    <col min="7171" max="7171" width="26.625" style="183" customWidth="1"/>
    <col min="7172" max="7172" width="14.375" style="183" customWidth="1"/>
    <col min="7173" max="7173" width="3.125" style="183" customWidth="1"/>
    <col min="7174" max="7177" width="12.375" style="183" customWidth="1"/>
    <col min="7178" max="7178" width="7" style="183" customWidth="1"/>
    <col min="7179" max="7179" width="8.875" style="183" customWidth="1"/>
    <col min="7180" max="7180" width="7" style="183" customWidth="1"/>
    <col min="7181" max="7181" width="3.125" style="183" customWidth="1"/>
    <col min="7182" max="7185" width="12.375" style="183" customWidth="1"/>
    <col min="7186" max="7188" width="7" style="183" customWidth="1"/>
    <col min="7189" max="7189" width="3" style="183" customWidth="1"/>
    <col min="7190" max="7193" width="12.375" style="183" customWidth="1"/>
    <col min="7194" max="7196" width="7" style="183" customWidth="1"/>
    <col min="7197" max="7424" width="9" style="183"/>
    <col min="7425" max="7425" width="2.625" style="183" customWidth="1"/>
    <col min="7426" max="7426" width="18.875" style="183" customWidth="1"/>
    <col min="7427" max="7427" width="26.625" style="183" customWidth="1"/>
    <col min="7428" max="7428" width="14.375" style="183" customWidth="1"/>
    <col min="7429" max="7429" width="3.125" style="183" customWidth="1"/>
    <col min="7430" max="7433" width="12.375" style="183" customWidth="1"/>
    <col min="7434" max="7434" width="7" style="183" customWidth="1"/>
    <col min="7435" max="7435" width="8.875" style="183" customWidth="1"/>
    <col min="7436" max="7436" width="7" style="183" customWidth="1"/>
    <col min="7437" max="7437" width="3.125" style="183" customWidth="1"/>
    <col min="7438" max="7441" width="12.375" style="183" customWidth="1"/>
    <col min="7442" max="7444" width="7" style="183" customWidth="1"/>
    <col min="7445" max="7445" width="3" style="183" customWidth="1"/>
    <col min="7446" max="7449" width="12.375" style="183" customWidth="1"/>
    <col min="7450" max="7452" width="7" style="183" customWidth="1"/>
    <col min="7453" max="7680" width="9" style="183"/>
    <col min="7681" max="7681" width="2.625" style="183" customWidth="1"/>
    <col min="7682" max="7682" width="18.875" style="183" customWidth="1"/>
    <col min="7683" max="7683" width="26.625" style="183" customWidth="1"/>
    <col min="7684" max="7684" width="14.375" style="183" customWidth="1"/>
    <col min="7685" max="7685" width="3.125" style="183" customWidth="1"/>
    <col min="7686" max="7689" width="12.375" style="183" customWidth="1"/>
    <col min="7690" max="7690" width="7" style="183" customWidth="1"/>
    <col min="7691" max="7691" width="8.875" style="183" customWidth="1"/>
    <col min="7692" max="7692" width="7" style="183" customWidth="1"/>
    <col min="7693" max="7693" width="3.125" style="183" customWidth="1"/>
    <col min="7694" max="7697" width="12.375" style="183" customWidth="1"/>
    <col min="7698" max="7700" width="7" style="183" customWidth="1"/>
    <col min="7701" max="7701" width="3" style="183" customWidth="1"/>
    <col min="7702" max="7705" width="12.375" style="183" customWidth="1"/>
    <col min="7706" max="7708" width="7" style="183" customWidth="1"/>
    <col min="7709" max="7936" width="9" style="183"/>
    <col min="7937" max="7937" width="2.625" style="183" customWidth="1"/>
    <col min="7938" max="7938" width="18.875" style="183" customWidth="1"/>
    <col min="7939" max="7939" width="26.625" style="183" customWidth="1"/>
    <col min="7940" max="7940" width="14.375" style="183" customWidth="1"/>
    <col min="7941" max="7941" width="3.125" style="183" customWidth="1"/>
    <col min="7942" max="7945" width="12.375" style="183" customWidth="1"/>
    <col min="7946" max="7946" width="7" style="183" customWidth="1"/>
    <col min="7947" max="7947" width="8.875" style="183" customWidth="1"/>
    <col min="7948" max="7948" width="7" style="183" customWidth="1"/>
    <col min="7949" max="7949" width="3.125" style="183" customWidth="1"/>
    <col min="7950" max="7953" width="12.375" style="183" customWidth="1"/>
    <col min="7954" max="7956" width="7" style="183" customWidth="1"/>
    <col min="7957" max="7957" width="3" style="183" customWidth="1"/>
    <col min="7958" max="7961" width="12.375" style="183" customWidth="1"/>
    <col min="7962" max="7964" width="7" style="183" customWidth="1"/>
    <col min="7965" max="8192" width="9" style="183"/>
    <col min="8193" max="8193" width="2.625" style="183" customWidth="1"/>
    <col min="8194" max="8194" width="18.875" style="183" customWidth="1"/>
    <col min="8195" max="8195" width="26.625" style="183" customWidth="1"/>
    <col min="8196" max="8196" width="14.375" style="183" customWidth="1"/>
    <col min="8197" max="8197" width="3.125" style="183" customWidth="1"/>
    <col min="8198" max="8201" width="12.375" style="183" customWidth="1"/>
    <col min="8202" max="8202" width="7" style="183" customWidth="1"/>
    <col min="8203" max="8203" width="8.875" style="183" customWidth="1"/>
    <col min="8204" max="8204" width="7" style="183" customWidth="1"/>
    <col min="8205" max="8205" width="3.125" style="183" customWidth="1"/>
    <col min="8206" max="8209" width="12.375" style="183" customWidth="1"/>
    <col min="8210" max="8212" width="7" style="183" customWidth="1"/>
    <col min="8213" max="8213" width="3" style="183" customWidth="1"/>
    <col min="8214" max="8217" width="12.375" style="183" customWidth="1"/>
    <col min="8218" max="8220" width="7" style="183" customWidth="1"/>
    <col min="8221" max="8448" width="9" style="183"/>
    <col min="8449" max="8449" width="2.625" style="183" customWidth="1"/>
    <col min="8450" max="8450" width="18.875" style="183" customWidth="1"/>
    <col min="8451" max="8451" width="26.625" style="183" customWidth="1"/>
    <col min="8452" max="8452" width="14.375" style="183" customWidth="1"/>
    <col min="8453" max="8453" width="3.125" style="183" customWidth="1"/>
    <col min="8454" max="8457" width="12.375" style="183" customWidth="1"/>
    <col min="8458" max="8458" width="7" style="183" customWidth="1"/>
    <col min="8459" max="8459" width="8.875" style="183" customWidth="1"/>
    <col min="8460" max="8460" width="7" style="183" customWidth="1"/>
    <col min="8461" max="8461" width="3.125" style="183" customWidth="1"/>
    <col min="8462" max="8465" width="12.375" style="183" customWidth="1"/>
    <col min="8466" max="8468" width="7" style="183" customWidth="1"/>
    <col min="8469" max="8469" width="3" style="183" customWidth="1"/>
    <col min="8470" max="8473" width="12.375" style="183" customWidth="1"/>
    <col min="8474" max="8476" width="7" style="183" customWidth="1"/>
    <col min="8477" max="8704" width="9" style="183"/>
    <col min="8705" max="8705" width="2.625" style="183" customWidth="1"/>
    <col min="8706" max="8706" width="18.875" style="183" customWidth="1"/>
    <col min="8707" max="8707" width="26.625" style="183" customWidth="1"/>
    <col min="8708" max="8708" width="14.375" style="183" customWidth="1"/>
    <col min="8709" max="8709" width="3.125" style="183" customWidth="1"/>
    <col min="8710" max="8713" width="12.375" style="183" customWidth="1"/>
    <col min="8714" max="8714" width="7" style="183" customWidth="1"/>
    <col min="8715" max="8715" width="8.875" style="183" customWidth="1"/>
    <col min="8716" max="8716" width="7" style="183" customWidth="1"/>
    <col min="8717" max="8717" width="3.125" style="183" customWidth="1"/>
    <col min="8718" max="8721" width="12.375" style="183" customWidth="1"/>
    <col min="8722" max="8724" width="7" style="183" customWidth="1"/>
    <col min="8725" max="8725" width="3" style="183" customWidth="1"/>
    <col min="8726" max="8729" width="12.375" style="183" customWidth="1"/>
    <col min="8730" max="8732" width="7" style="183" customWidth="1"/>
    <col min="8733" max="8960" width="9" style="183"/>
    <col min="8961" max="8961" width="2.625" style="183" customWidth="1"/>
    <col min="8962" max="8962" width="18.875" style="183" customWidth="1"/>
    <col min="8963" max="8963" width="26.625" style="183" customWidth="1"/>
    <col min="8964" max="8964" width="14.375" style="183" customWidth="1"/>
    <col min="8965" max="8965" width="3.125" style="183" customWidth="1"/>
    <col min="8966" max="8969" width="12.375" style="183" customWidth="1"/>
    <col min="8970" max="8970" width="7" style="183" customWidth="1"/>
    <col min="8971" max="8971" width="8.875" style="183" customWidth="1"/>
    <col min="8972" max="8972" width="7" style="183" customWidth="1"/>
    <col min="8973" max="8973" width="3.125" style="183" customWidth="1"/>
    <col min="8974" max="8977" width="12.375" style="183" customWidth="1"/>
    <col min="8978" max="8980" width="7" style="183" customWidth="1"/>
    <col min="8981" max="8981" width="3" style="183" customWidth="1"/>
    <col min="8982" max="8985" width="12.375" style="183" customWidth="1"/>
    <col min="8986" max="8988" width="7" style="183" customWidth="1"/>
    <col min="8989" max="9216" width="9" style="183"/>
    <col min="9217" max="9217" width="2.625" style="183" customWidth="1"/>
    <col min="9218" max="9218" width="18.875" style="183" customWidth="1"/>
    <col min="9219" max="9219" width="26.625" style="183" customWidth="1"/>
    <col min="9220" max="9220" width="14.375" style="183" customWidth="1"/>
    <col min="9221" max="9221" width="3.125" style="183" customWidth="1"/>
    <col min="9222" max="9225" width="12.375" style="183" customWidth="1"/>
    <col min="9226" max="9226" width="7" style="183" customWidth="1"/>
    <col min="9227" max="9227" width="8.875" style="183" customWidth="1"/>
    <col min="9228" max="9228" width="7" style="183" customWidth="1"/>
    <col min="9229" max="9229" width="3.125" style="183" customWidth="1"/>
    <col min="9230" max="9233" width="12.375" style="183" customWidth="1"/>
    <col min="9234" max="9236" width="7" style="183" customWidth="1"/>
    <col min="9237" max="9237" width="3" style="183" customWidth="1"/>
    <col min="9238" max="9241" width="12.375" style="183" customWidth="1"/>
    <col min="9242" max="9244" width="7" style="183" customWidth="1"/>
    <col min="9245" max="9472" width="9" style="183"/>
    <col min="9473" max="9473" width="2.625" style="183" customWidth="1"/>
    <col min="9474" max="9474" width="18.875" style="183" customWidth="1"/>
    <col min="9475" max="9475" width="26.625" style="183" customWidth="1"/>
    <col min="9476" max="9476" width="14.375" style="183" customWidth="1"/>
    <col min="9477" max="9477" width="3.125" style="183" customWidth="1"/>
    <col min="9478" max="9481" width="12.375" style="183" customWidth="1"/>
    <col min="9482" max="9482" width="7" style="183" customWidth="1"/>
    <col min="9483" max="9483" width="8.875" style="183" customWidth="1"/>
    <col min="9484" max="9484" width="7" style="183" customWidth="1"/>
    <col min="9485" max="9485" width="3.125" style="183" customWidth="1"/>
    <col min="9486" max="9489" width="12.375" style="183" customWidth="1"/>
    <col min="9490" max="9492" width="7" style="183" customWidth="1"/>
    <col min="9493" max="9493" width="3" style="183" customWidth="1"/>
    <col min="9494" max="9497" width="12.375" style="183" customWidth="1"/>
    <col min="9498" max="9500" width="7" style="183" customWidth="1"/>
    <col min="9501" max="9728" width="9" style="183"/>
    <col min="9729" max="9729" width="2.625" style="183" customWidth="1"/>
    <col min="9730" max="9730" width="18.875" style="183" customWidth="1"/>
    <col min="9731" max="9731" width="26.625" style="183" customWidth="1"/>
    <col min="9732" max="9732" width="14.375" style="183" customWidth="1"/>
    <col min="9733" max="9733" width="3.125" style="183" customWidth="1"/>
    <col min="9734" max="9737" width="12.375" style="183" customWidth="1"/>
    <col min="9738" max="9738" width="7" style="183" customWidth="1"/>
    <col min="9739" max="9739" width="8.875" style="183" customWidth="1"/>
    <col min="9740" max="9740" width="7" style="183" customWidth="1"/>
    <col min="9741" max="9741" width="3.125" style="183" customWidth="1"/>
    <col min="9742" max="9745" width="12.375" style="183" customWidth="1"/>
    <col min="9746" max="9748" width="7" style="183" customWidth="1"/>
    <col min="9749" max="9749" width="3" style="183" customWidth="1"/>
    <col min="9750" max="9753" width="12.375" style="183" customWidth="1"/>
    <col min="9754" max="9756" width="7" style="183" customWidth="1"/>
    <col min="9757" max="9984" width="9" style="183"/>
    <col min="9985" max="9985" width="2.625" style="183" customWidth="1"/>
    <col min="9986" max="9986" width="18.875" style="183" customWidth="1"/>
    <col min="9987" max="9987" width="26.625" style="183" customWidth="1"/>
    <col min="9988" max="9988" width="14.375" style="183" customWidth="1"/>
    <col min="9989" max="9989" width="3.125" style="183" customWidth="1"/>
    <col min="9990" max="9993" width="12.375" style="183" customWidth="1"/>
    <col min="9994" max="9994" width="7" style="183" customWidth="1"/>
    <col min="9995" max="9995" width="8.875" style="183" customWidth="1"/>
    <col min="9996" max="9996" width="7" style="183" customWidth="1"/>
    <col min="9997" max="9997" width="3.125" style="183" customWidth="1"/>
    <col min="9998" max="10001" width="12.375" style="183" customWidth="1"/>
    <col min="10002" max="10004" width="7" style="183" customWidth="1"/>
    <col min="10005" max="10005" width="3" style="183" customWidth="1"/>
    <col min="10006" max="10009" width="12.375" style="183" customWidth="1"/>
    <col min="10010" max="10012" width="7" style="183" customWidth="1"/>
    <col min="10013" max="10240" width="9" style="183"/>
    <col min="10241" max="10241" width="2.625" style="183" customWidth="1"/>
    <col min="10242" max="10242" width="18.875" style="183" customWidth="1"/>
    <col min="10243" max="10243" width="26.625" style="183" customWidth="1"/>
    <col min="10244" max="10244" width="14.375" style="183" customWidth="1"/>
    <col min="10245" max="10245" width="3.125" style="183" customWidth="1"/>
    <col min="10246" max="10249" width="12.375" style="183" customWidth="1"/>
    <col min="10250" max="10250" width="7" style="183" customWidth="1"/>
    <col min="10251" max="10251" width="8.875" style="183" customWidth="1"/>
    <col min="10252" max="10252" width="7" style="183" customWidth="1"/>
    <col min="10253" max="10253" width="3.125" style="183" customWidth="1"/>
    <col min="10254" max="10257" width="12.375" style="183" customWidth="1"/>
    <col min="10258" max="10260" width="7" style="183" customWidth="1"/>
    <col min="10261" max="10261" width="3" style="183" customWidth="1"/>
    <col min="10262" max="10265" width="12.375" style="183" customWidth="1"/>
    <col min="10266" max="10268" width="7" style="183" customWidth="1"/>
    <col min="10269" max="10496" width="9" style="183"/>
    <col min="10497" max="10497" width="2.625" style="183" customWidth="1"/>
    <col min="10498" max="10498" width="18.875" style="183" customWidth="1"/>
    <col min="10499" max="10499" width="26.625" style="183" customWidth="1"/>
    <col min="10500" max="10500" width="14.375" style="183" customWidth="1"/>
    <col min="10501" max="10501" width="3.125" style="183" customWidth="1"/>
    <col min="10502" max="10505" width="12.375" style="183" customWidth="1"/>
    <col min="10506" max="10506" width="7" style="183" customWidth="1"/>
    <col min="10507" max="10507" width="8.875" style="183" customWidth="1"/>
    <col min="10508" max="10508" width="7" style="183" customWidth="1"/>
    <col min="10509" max="10509" width="3.125" style="183" customWidth="1"/>
    <col min="10510" max="10513" width="12.375" style="183" customWidth="1"/>
    <col min="10514" max="10516" width="7" style="183" customWidth="1"/>
    <col min="10517" max="10517" width="3" style="183" customWidth="1"/>
    <col min="10518" max="10521" width="12.375" style="183" customWidth="1"/>
    <col min="10522" max="10524" width="7" style="183" customWidth="1"/>
    <col min="10525" max="10752" width="9" style="183"/>
    <col min="10753" max="10753" width="2.625" style="183" customWidth="1"/>
    <col min="10754" max="10754" width="18.875" style="183" customWidth="1"/>
    <col min="10755" max="10755" width="26.625" style="183" customWidth="1"/>
    <col min="10756" max="10756" width="14.375" style="183" customWidth="1"/>
    <col min="10757" max="10757" width="3.125" style="183" customWidth="1"/>
    <col min="10758" max="10761" width="12.375" style="183" customWidth="1"/>
    <col min="10762" max="10762" width="7" style="183" customWidth="1"/>
    <col min="10763" max="10763" width="8.875" style="183" customWidth="1"/>
    <col min="10764" max="10764" width="7" style="183" customWidth="1"/>
    <col min="10765" max="10765" width="3.125" style="183" customWidth="1"/>
    <col min="10766" max="10769" width="12.375" style="183" customWidth="1"/>
    <col min="10770" max="10772" width="7" style="183" customWidth="1"/>
    <col min="10773" max="10773" width="3" style="183" customWidth="1"/>
    <col min="10774" max="10777" width="12.375" style="183" customWidth="1"/>
    <col min="10778" max="10780" width="7" style="183" customWidth="1"/>
    <col min="10781" max="11008" width="9" style="183"/>
    <col min="11009" max="11009" width="2.625" style="183" customWidth="1"/>
    <col min="11010" max="11010" width="18.875" style="183" customWidth="1"/>
    <col min="11011" max="11011" width="26.625" style="183" customWidth="1"/>
    <col min="11012" max="11012" width="14.375" style="183" customWidth="1"/>
    <col min="11013" max="11013" width="3.125" style="183" customWidth="1"/>
    <col min="11014" max="11017" width="12.375" style="183" customWidth="1"/>
    <col min="11018" max="11018" width="7" style="183" customWidth="1"/>
    <col min="11019" max="11019" width="8.875" style="183" customWidth="1"/>
    <col min="11020" max="11020" width="7" style="183" customWidth="1"/>
    <col min="11021" max="11021" width="3.125" style="183" customWidth="1"/>
    <col min="11022" max="11025" width="12.375" style="183" customWidth="1"/>
    <col min="11026" max="11028" width="7" style="183" customWidth="1"/>
    <col min="11029" max="11029" width="3" style="183" customWidth="1"/>
    <col min="11030" max="11033" width="12.375" style="183" customWidth="1"/>
    <col min="11034" max="11036" width="7" style="183" customWidth="1"/>
    <col min="11037" max="11264" width="9" style="183"/>
    <col min="11265" max="11265" width="2.625" style="183" customWidth="1"/>
    <col min="11266" max="11266" width="18.875" style="183" customWidth="1"/>
    <col min="11267" max="11267" width="26.625" style="183" customWidth="1"/>
    <col min="11268" max="11268" width="14.375" style="183" customWidth="1"/>
    <col min="11269" max="11269" width="3.125" style="183" customWidth="1"/>
    <col min="11270" max="11273" width="12.375" style="183" customWidth="1"/>
    <col min="11274" max="11274" width="7" style="183" customWidth="1"/>
    <col min="11275" max="11275" width="8.875" style="183" customWidth="1"/>
    <col min="11276" max="11276" width="7" style="183" customWidth="1"/>
    <col min="11277" max="11277" width="3.125" style="183" customWidth="1"/>
    <col min="11278" max="11281" width="12.375" style="183" customWidth="1"/>
    <col min="11282" max="11284" width="7" style="183" customWidth="1"/>
    <col min="11285" max="11285" width="3" style="183" customWidth="1"/>
    <col min="11286" max="11289" width="12.375" style="183" customWidth="1"/>
    <col min="11290" max="11292" width="7" style="183" customWidth="1"/>
    <col min="11293" max="11520" width="9" style="183"/>
    <col min="11521" max="11521" width="2.625" style="183" customWidth="1"/>
    <col min="11522" max="11522" width="18.875" style="183" customWidth="1"/>
    <col min="11523" max="11523" width="26.625" style="183" customWidth="1"/>
    <col min="11524" max="11524" width="14.375" style="183" customWidth="1"/>
    <col min="11525" max="11525" width="3.125" style="183" customWidth="1"/>
    <col min="11526" max="11529" width="12.375" style="183" customWidth="1"/>
    <col min="11530" max="11530" width="7" style="183" customWidth="1"/>
    <col min="11531" max="11531" width="8.875" style="183" customWidth="1"/>
    <col min="11532" max="11532" width="7" style="183" customWidth="1"/>
    <col min="11533" max="11533" width="3.125" style="183" customWidth="1"/>
    <col min="11534" max="11537" width="12.375" style="183" customWidth="1"/>
    <col min="11538" max="11540" width="7" style="183" customWidth="1"/>
    <col min="11541" max="11541" width="3" style="183" customWidth="1"/>
    <col min="11542" max="11545" width="12.375" style="183" customWidth="1"/>
    <col min="11546" max="11548" width="7" style="183" customWidth="1"/>
    <col min="11549" max="11776" width="9" style="183"/>
    <col min="11777" max="11777" width="2.625" style="183" customWidth="1"/>
    <col min="11778" max="11778" width="18.875" style="183" customWidth="1"/>
    <col min="11779" max="11779" width="26.625" style="183" customWidth="1"/>
    <col min="11780" max="11780" width="14.375" style="183" customWidth="1"/>
    <col min="11781" max="11781" width="3.125" style="183" customWidth="1"/>
    <col min="11782" max="11785" width="12.375" style="183" customWidth="1"/>
    <col min="11786" max="11786" width="7" style="183" customWidth="1"/>
    <col min="11787" max="11787" width="8.875" style="183" customWidth="1"/>
    <col min="11788" max="11788" width="7" style="183" customWidth="1"/>
    <col min="11789" max="11789" width="3.125" style="183" customWidth="1"/>
    <col min="11790" max="11793" width="12.375" style="183" customWidth="1"/>
    <col min="11794" max="11796" width="7" style="183" customWidth="1"/>
    <col min="11797" max="11797" width="3" style="183" customWidth="1"/>
    <col min="11798" max="11801" width="12.375" style="183" customWidth="1"/>
    <col min="11802" max="11804" width="7" style="183" customWidth="1"/>
    <col min="11805" max="12032" width="9" style="183"/>
    <col min="12033" max="12033" width="2.625" style="183" customWidth="1"/>
    <col min="12034" max="12034" width="18.875" style="183" customWidth="1"/>
    <col min="12035" max="12035" width="26.625" style="183" customWidth="1"/>
    <col min="12036" max="12036" width="14.375" style="183" customWidth="1"/>
    <col min="12037" max="12037" width="3.125" style="183" customWidth="1"/>
    <col min="12038" max="12041" width="12.375" style="183" customWidth="1"/>
    <col min="12042" max="12042" width="7" style="183" customWidth="1"/>
    <col min="12043" max="12043" width="8.875" style="183" customWidth="1"/>
    <col min="12044" max="12044" width="7" style="183" customWidth="1"/>
    <col min="12045" max="12045" width="3.125" style="183" customWidth="1"/>
    <col min="12046" max="12049" width="12.375" style="183" customWidth="1"/>
    <col min="12050" max="12052" width="7" style="183" customWidth="1"/>
    <col min="12053" max="12053" width="3" style="183" customWidth="1"/>
    <col min="12054" max="12057" width="12.375" style="183" customWidth="1"/>
    <col min="12058" max="12060" width="7" style="183" customWidth="1"/>
    <col min="12061" max="12288" width="9" style="183"/>
    <col min="12289" max="12289" width="2.625" style="183" customWidth="1"/>
    <col min="12290" max="12290" width="18.875" style="183" customWidth="1"/>
    <col min="12291" max="12291" width="26.625" style="183" customWidth="1"/>
    <col min="12292" max="12292" width="14.375" style="183" customWidth="1"/>
    <col min="12293" max="12293" width="3.125" style="183" customWidth="1"/>
    <col min="12294" max="12297" width="12.375" style="183" customWidth="1"/>
    <col min="12298" max="12298" width="7" style="183" customWidth="1"/>
    <col min="12299" max="12299" width="8.875" style="183" customWidth="1"/>
    <col min="12300" max="12300" width="7" style="183" customWidth="1"/>
    <col min="12301" max="12301" width="3.125" style="183" customWidth="1"/>
    <col min="12302" max="12305" width="12.375" style="183" customWidth="1"/>
    <col min="12306" max="12308" width="7" style="183" customWidth="1"/>
    <col min="12309" max="12309" width="3" style="183" customWidth="1"/>
    <col min="12310" max="12313" width="12.375" style="183" customWidth="1"/>
    <col min="12314" max="12316" width="7" style="183" customWidth="1"/>
    <col min="12317" max="12544" width="9" style="183"/>
    <col min="12545" max="12545" width="2.625" style="183" customWidth="1"/>
    <col min="12546" max="12546" width="18.875" style="183" customWidth="1"/>
    <col min="12547" max="12547" width="26.625" style="183" customWidth="1"/>
    <col min="12548" max="12548" width="14.375" style="183" customWidth="1"/>
    <col min="12549" max="12549" width="3.125" style="183" customWidth="1"/>
    <col min="12550" max="12553" width="12.375" style="183" customWidth="1"/>
    <col min="12554" max="12554" width="7" style="183" customWidth="1"/>
    <col min="12555" max="12555" width="8.875" style="183" customWidth="1"/>
    <col min="12556" max="12556" width="7" style="183" customWidth="1"/>
    <col min="12557" max="12557" width="3.125" style="183" customWidth="1"/>
    <col min="12558" max="12561" width="12.375" style="183" customWidth="1"/>
    <col min="12562" max="12564" width="7" style="183" customWidth="1"/>
    <col min="12565" max="12565" width="3" style="183" customWidth="1"/>
    <col min="12566" max="12569" width="12.375" style="183" customWidth="1"/>
    <col min="12570" max="12572" width="7" style="183" customWidth="1"/>
    <col min="12573" max="12800" width="9" style="183"/>
    <col min="12801" max="12801" width="2.625" style="183" customWidth="1"/>
    <col min="12802" max="12802" width="18.875" style="183" customWidth="1"/>
    <col min="12803" max="12803" width="26.625" style="183" customWidth="1"/>
    <col min="12804" max="12804" width="14.375" style="183" customWidth="1"/>
    <col min="12805" max="12805" width="3.125" style="183" customWidth="1"/>
    <col min="12806" max="12809" width="12.375" style="183" customWidth="1"/>
    <col min="12810" max="12810" width="7" style="183" customWidth="1"/>
    <col min="12811" max="12811" width="8.875" style="183" customWidth="1"/>
    <col min="12812" max="12812" width="7" style="183" customWidth="1"/>
    <col min="12813" max="12813" width="3.125" style="183" customWidth="1"/>
    <col min="12814" max="12817" width="12.375" style="183" customWidth="1"/>
    <col min="12818" max="12820" width="7" style="183" customWidth="1"/>
    <col min="12821" max="12821" width="3" style="183" customWidth="1"/>
    <col min="12822" max="12825" width="12.375" style="183" customWidth="1"/>
    <col min="12826" max="12828" width="7" style="183" customWidth="1"/>
    <col min="12829" max="13056" width="9" style="183"/>
    <col min="13057" max="13057" width="2.625" style="183" customWidth="1"/>
    <col min="13058" max="13058" width="18.875" style="183" customWidth="1"/>
    <col min="13059" max="13059" width="26.625" style="183" customWidth="1"/>
    <col min="13060" max="13060" width="14.375" style="183" customWidth="1"/>
    <col min="13061" max="13061" width="3.125" style="183" customWidth="1"/>
    <col min="13062" max="13065" width="12.375" style="183" customWidth="1"/>
    <col min="13066" max="13066" width="7" style="183" customWidth="1"/>
    <col min="13067" max="13067" width="8.875" style="183" customWidth="1"/>
    <col min="13068" max="13068" width="7" style="183" customWidth="1"/>
    <col min="13069" max="13069" width="3.125" style="183" customWidth="1"/>
    <col min="13070" max="13073" width="12.375" style="183" customWidth="1"/>
    <col min="13074" max="13076" width="7" style="183" customWidth="1"/>
    <col min="13077" max="13077" width="3" style="183" customWidth="1"/>
    <col min="13078" max="13081" width="12.375" style="183" customWidth="1"/>
    <col min="13082" max="13084" width="7" style="183" customWidth="1"/>
    <col min="13085" max="13312" width="9" style="183"/>
    <col min="13313" max="13313" width="2.625" style="183" customWidth="1"/>
    <col min="13314" max="13314" width="18.875" style="183" customWidth="1"/>
    <col min="13315" max="13315" width="26.625" style="183" customWidth="1"/>
    <col min="13316" max="13316" width="14.375" style="183" customWidth="1"/>
    <col min="13317" max="13317" width="3.125" style="183" customWidth="1"/>
    <col min="13318" max="13321" width="12.375" style="183" customWidth="1"/>
    <col min="13322" max="13322" width="7" style="183" customWidth="1"/>
    <col min="13323" max="13323" width="8.875" style="183" customWidth="1"/>
    <col min="13324" max="13324" width="7" style="183" customWidth="1"/>
    <col min="13325" max="13325" width="3.125" style="183" customWidth="1"/>
    <col min="13326" max="13329" width="12.375" style="183" customWidth="1"/>
    <col min="13330" max="13332" width="7" style="183" customWidth="1"/>
    <col min="13333" max="13333" width="3" style="183" customWidth="1"/>
    <col min="13334" max="13337" width="12.375" style="183" customWidth="1"/>
    <col min="13338" max="13340" width="7" style="183" customWidth="1"/>
    <col min="13341" max="13568" width="9" style="183"/>
    <col min="13569" max="13569" width="2.625" style="183" customWidth="1"/>
    <col min="13570" max="13570" width="18.875" style="183" customWidth="1"/>
    <col min="13571" max="13571" width="26.625" style="183" customWidth="1"/>
    <col min="13572" max="13572" width="14.375" style="183" customWidth="1"/>
    <col min="13573" max="13573" width="3.125" style="183" customWidth="1"/>
    <col min="13574" max="13577" width="12.375" style="183" customWidth="1"/>
    <col min="13578" max="13578" width="7" style="183" customWidth="1"/>
    <col min="13579" max="13579" width="8.875" style="183" customWidth="1"/>
    <col min="13580" max="13580" width="7" style="183" customWidth="1"/>
    <col min="13581" max="13581" width="3.125" style="183" customWidth="1"/>
    <col min="13582" max="13585" width="12.375" style="183" customWidth="1"/>
    <col min="13586" max="13588" width="7" style="183" customWidth="1"/>
    <col min="13589" max="13589" width="3" style="183" customWidth="1"/>
    <col min="13590" max="13593" width="12.375" style="183" customWidth="1"/>
    <col min="13594" max="13596" width="7" style="183" customWidth="1"/>
    <col min="13597" max="13824" width="9" style="183"/>
    <col min="13825" max="13825" width="2.625" style="183" customWidth="1"/>
    <col min="13826" max="13826" width="18.875" style="183" customWidth="1"/>
    <col min="13827" max="13827" width="26.625" style="183" customWidth="1"/>
    <col min="13828" max="13828" width="14.375" style="183" customWidth="1"/>
    <col min="13829" max="13829" width="3.125" style="183" customWidth="1"/>
    <col min="13830" max="13833" width="12.375" style="183" customWidth="1"/>
    <col min="13834" max="13834" width="7" style="183" customWidth="1"/>
    <col min="13835" max="13835" width="8.875" style="183" customWidth="1"/>
    <col min="13836" max="13836" width="7" style="183" customWidth="1"/>
    <col min="13837" max="13837" width="3.125" style="183" customWidth="1"/>
    <col min="13838" max="13841" width="12.375" style="183" customWidth="1"/>
    <col min="13842" max="13844" width="7" style="183" customWidth="1"/>
    <col min="13845" max="13845" width="3" style="183" customWidth="1"/>
    <col min="13846" max="13849" width="12.375" style="183" customWidth="1"/>
    <col min="13850" max="13852" width="7" style="183" customWidth="1"/>
    <col min="13853" max="14080" width="9" style="183"/>
    <col min="14081" max="14081" width="2.625" style="183" customWidth="1"/>
    <col min="14082" max="14082" width="18.875" style="183" customWidth="1"/>
    <col min="14083" max="14083" width="26.625" style="183" customWidth="1"/>
    <col min="14084" max="14084" width="14.375" style="183" customWidth="1"/>
    <col min="14085" max="14085" width="3.125" style="183" customWidth="1"/>
    <col min="14086" max="14089" width="12.375" style="183" customWidth="1"/>
    <col min="14090" max="14090" width="7" style="183" customWidth="1"/>
    <col min="14091" max="14091" width="8.875" style="183" customWidth="1"/>
    <col min="14092" max="14092" width="7" style="183" customWidth="1"/>
    <col min="14093" max="14093" width="3.125" style="183" customWidth="1"/>
    <col min="14094" max="14097" width="12.375" style="183" customWidth="1"/>
    <col min="14098" max="14100" width="7" style="183" customWidth="1"/>
    <col min="14101" max="14101" width="3" style="183" customWidth="1"/>
    <col min="14102" max="14105" width="12.375" style="183" customWidth="1"/>
    <col min="14106" max="14108" width="7" style="183" customWidth="1"/>
    <col min="14109" max="14336" width="9" style="183"/>
    <col min="14337" max="14337" width="2.625" style="183" customWidth="1"/>
    <col min="14338" max="14338" width="18.875" style="183" customWidth="1"/>
    <col min="14339" max="14339" width="26.625" style="183" customWidth="1"/>
    <col min="14340" max="14340" width="14.375" style="183" customWidth="1"/>
    <col min="14341" max="14341" width="3.125" style="183" customWidth="1"/>
    <col min="14342" max="14345" width="12.375" style="183" customWidth="1"/>
    <col min="14346" max="14346" width="7" style="183" customWidth="1"/>
    <col min="14347" max="14347" width="8.875" style="183" customWidth="1"/>
    <col min="14348" max="14348" width="7" style="183" customWidth="1"/>
    <col min="14349" max="14349" width="3.125" style="183" customWidth="1"/>
    <col min="14350" max="14353" width="12.375" style="183" customWidth="1"/>
    <col min="14354" max="14356" width="7" style="183" customWidth="1"/>
    <col min="14357" max="14357" width="3" style="183" customWidth="1"/>
    <col min="14358" max="14361" width="12.375" style="183" customWidth="1"/>
    <col min="14362" max="14364" width="7" style="183" customWidth="1"/>
    <col min="14365" max="14592" width="9" style="183"/>
    <col min="14593" max="14593" width="2.625" style="183" customWidth="1"/>
    <col min="14594" max="14594" width="18.875" style="183" customWidth="1"/>
    <col min="14595" max="14595" width="26.625" style="183" customWidth="1"/>
    <col min="14596" max="14596" width="14.375" style="183" customWidth="1"/>
    <col min="14597" max="14597" width="3.125" style="183" customWidth="1"/>
    <col min="14598" max="14601" width="12.375" style="183" customWidth="1"/>
    <col min="14602" max="14602" width="7" style="183" customWidth="1"/>
    <col min="14603" max="14603" width="8.875" style="183" customWidth="1"/>
    <col min="14604" max="14604" width="7" style="183" customWidth="1"/>
    <col min="14605" max="14605" width="3.125" style="183" customWidth="1"/>
    <col min="14606" max="14609" width="12.375" style="183" customWidth="1"/>
    <col min="14610" max="14612" width="7" style="183" customWidth="1"/>
    <col min="14613" max="14613" width="3" style="183" customWidth="1"/>
    <col min="14614" max="14617" width="12.375" style="183" customWidth="1"/>
    <col min="14618" max="14620" width="7" style="183" customWidth="1"/>
    <col min="14621" max="14848" width="9" style="183"/>
    <col min="14849" max="14849" width="2.625" style="183" customWidth="1"/>
    <col min="14850" max="14850" width="18.875" style="183" customWidth="1"/>
    <col min="14851" max="14851" width="26.625" style="183" customWidth="1"/>
    <col min="14852" max="14852" width="14.375" style="183" customWidth="1"/>
    <col min="14853" max="14853" width="3.125" style="183" customWidth="1"/>
    <col min="14854" max="14857" width="12.375" style="183" customWidth="1"/>
    <col min="14858" max="14858" width="7" style="183" customWidth="1"/>
    <col min="14859" max="14859" width="8.875" style="183" customWidth="1"/>
    <col min="14860" max="14860" width="7" style="183" customWidth="1"/>
    <col min="14861" max="14861" width="3.125" style="183" customWidth="1"/>
    <col min="14862" max="14865" width="12.375" style="183" customWidth="1"/>
    <col min="14866" max="14868" width="7" style="183" customWidth="1"/>
    <col min="14869" max="14869" width="3" style="183" customWidth="1"/>
    <col min="14870" max="14873" width="12.375" style="183" customWidth="1"/>
    <col min="14874" max="14876" width="7" style="183" customWidth="1"/>
    <col min="14877" max="15104" width="9" style="183"/>
    <col min="15105" max="15105" width="2.625" style="183" customWidth="1"/>
    <col min="15106" max="15106" width="18.875" style="183" customWidth="1"/>
    <col min="15107" max="15107" width="26.625" style="183" customWidth="1"/>
    <col min="15108" max="15108" width="14.375" style="183" customWidth="1"/>
    <col min="15109" max="15109" width="3.125" style="183" customWidth="1"/>
    <col min="15110" max="15113" width="12.375" style="183" customWidth="1"/>
    <col min="15114" max="15114" width="7" style="183" customWidth="1"/>
    <col min="15115" max="15115" width="8.875" style="183" customWidth="1"/>
    <col min="15116" max="15116" width="7" style="183" customWidth="1"/>
    <col min="15117" max="15117" width="3.125" style="183" customWidth="1"/>
    <col min="15118" max="15121" width="12.375" style="183" customWidth="1"/>
    <col min="15122" max="15124" width="7" style="183" customWidth="1"/>
    <col min="15125" max="15125" width="3" style="183" customWidth="1"/>
    <col min="15126" max="15129" width="12.375" style="183" customWidth="1"/>
    <col min="15130" max="15132" width="7" style="183" customWidth="1"/>
    <col min="15133" max="15360" width="9" style="183"/>
    <col min="15361" max="15361" width="2.625" style="183" customWidth="1"/>
    <col min="15362" max="15362" width="18.875" style="183" customWidth="1"/>
    <col min="15363" max="15363" width="26.625" style="183" customWidth="1"/>
    <col min="15364" max="15364" width="14.375" style="183" customWidth="1"/>
    <col min="15365" max="15365" width="3.125" style="183" customWidth="1"/>
    <col min="15366" max="15369" width="12.375" style="183" customWidth="1"/>
    <col min="15370" max="15370" width="7" style="183" customWidth="1"/>
    <col min="15371" max="15371" width="8.875" style="183" customWidth="1"/>
    <col min="15372" max="15372" width="7" style="183" customWidth="1"/>
    <col min="15373" max="15373" width="3.125" style="183" customWidth="1"/>
    <col min="15374" max="15377" width="12.375" style="183" customWidth="1"/>
    <col min="15378" max="15380" width="7" style="183" customWidth="1"/>
    <col min="15381" max="15381" width="3" style="183" customWidth="1"/>
    <col min="15382" max="15385" width="12.375" style="183" customWidth="1"/>
    <col min="15386" max="15388" width="7" style="183" customWidth="1"/>
    <col min="15389" max="15616" width="9" style="183"/>
    <col min="15617" max="15617" width="2.625" style="183" customWidth="1"/>
    <col min="15618" max="15618" width="18.875" style="183" customWidth="1"/>
    <col min="15619" max="15619" width="26.625" style="183" customWidth="1"/>
    <col min="15620" max="15620" width="14.375" style="183" customWidth="1"/>
    <col min="15621" max="15621" width="3.125" style="183" customWidth="1"/>
    <col min="15622" max="15625" width="12.375" style="183" customWidth="1"/>
    <col min="15626" max="15626" width="7" style="183" customWidth="1"/>
    <col min="15627" max="15627" width="8.875" style="183" customWidth="1"/>
    <col min="15628" max="15628" width="7" style="183" customWidth="1"/>
    <col min="15629" max="15629" width="3.125" style="183" customWidth="1"/>
    <col min="15630" max="15633" width="12.375" style="183" customWidth="1"/>
    <col min="15634" max="15636" width="7" style="183" customWidth="1"/>
    <col min="15637" max="15637" width="3" style="183" customWidth="1"/>
    <col min="15638" max="15641" width="12.375" style="183" customWidth="1"/>
    <col min="15642" max="15644" width="7" style="183" customWidth="1"/>
    <col min="15645" max="15872" width="9" style="183"/>
    <col min="15873" max="15873" width="2.625" style="183" customWidth="1"/>
    <col min="15874" max="15874" width="18.875" style="183" customWidth="1"/>
    <col min="15875" max="15875" width="26.625" style="183" customWidth="1"/>
    <col min="15876" max="15876" width="14.375" style="183" customWidth="1"/>
    <col min="15877" max="15877" width="3.125" style="183" customWidth="1"/>
    <col min="15878" max="15881" width="12.375" style="183" customWidth="1"/>
    <col min="15882" max="15882" width="7" style="183" customWidth="1"/>
    <col min="15883" max="15883" width="8.875" style="183" customWidth="1"/>
    <col min="15884" max="15884" width="7" style="183" customWidth="1"/>
    <col min="15885" max="15885" width="3.125" style="183" customWidth="1"/>
    <col min="15886" max="15889" width="12.375" style="183" customWidth="1"/>
    <col min="15890" max="15892" width="7" style="183" customWidth="1"/>
    <col min="15893" max="15893" width="3" style="183" customWidth="1"/>
    <col min="15894" max="15897" width="12.375" style="183" customWidth="1"/>
    <col min="15898" max="15900" width="7" style="183" customWidth="1"/>
    <col min="15901" max="16128" width="9" style="183"/>
    <col min="16129" max="16129" width="2.625" style="183" customWidth="1"/>
    <col min="16130" max="16130" width="18.875" style="183" customWidth="1"/>
    <col min="16131" max="16131" width="26.625" style="183" customWidth="1"/>
    <col min="16132" max="16132" width="14.375" style="183" customWidth="1"/>
    <col min="16133" max="16133" width="3.125" style="183" customWidth="1"/>
    <col min="16134" max="16137" width="12.375" style="183" customWidth="1"/>
    <col min="16138" max="16138" width="7" style="183" customWidth="1"/>
    <col min="16139" max="16139" width="8.875" style="183" customWidth="1"/>
    <col min="16140" max="16140" width="7" style="183" customWidth="1"/>
    <col min="16141" max="16141" width="3.125" style="183" customWidth="1"/>
    <col min="16142" max="16145" width="12.375" style="183" customWidth="1"/>
    <col min="16146" max="16148" width="7" style="183" customWidth="1"/>
    <col min="16149" max="16149" width="3" style="183" customWidth="1"/>
    <col min="16150" max="16153" width="12.375" style="183" customWidth="1"/>
    <col min="16154" max="16156" width="7" style="183" customWidth="1"/>
    <col min="16157" max="16384" width="9" style="183"/>
  </cols>
  <sheetData>
    <row r="1" spans="1:39" s="181" customFormat="1" ht="57.75" customHeight="1" x14ac:dyDescent="0.25">
      <c r="A1" s="175" t="s">
        <v>0</v>
      </c>
      <c r="B1" s="176"/>
      <c r="C1" s="177"/>
      <c r="D1" s="403" t="s">
        <v>32</v>
      </c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178"/>
      <c r="W1" s="178"/>
      <c r="X1" s="178"/>
      <c r="Y1" s="178"/>
      <c r="Z1" s="177"/>
      <c r="AA1" s="177"/>
      <c r="AB1" s="179" t="s">
        <v>0</v>
      </c>
      <c r="AC1" s="180"/>
    </row>
    <row r="2" spans="1:39" s="181" customFormat="1" ht="24.75" customHeight="1" thickBot="1" x14ac:dyDescent="0.3"/>
    <row r="3" spans="1:39" ht="47.25" customHeight="1" thickBot="1" x14ac:dyDescent="0.3">
      <c r="A3" s="404" t="s">
        <v>31</v>
      </c>
      <c r="B3" s="405"/>
      <c r="C3" s="406" t="s">
        <v>94</v>
      </c>
      <c r="D3" s="407"/>
      <c r="E3" s="182"/>
      <c r="H3" s="184"/>
      <c r="L3" s="185" t="s">
        <v>89</v>
      </c>
      <c r="AD3" s="181"/>
      <c r="AE3" s="181"/>
      <c r="AF3" s="181"/>
      <c r="AG3" s="181"/>
      <c r="AH3" s="181"/>
      <c r="AI3" s="181"/>
      <c r="AJ3" s="181"/>
      <c r="AK3" s="181"/>
      <c r="AL3" s="181"/>
      <c r="AM3" s="181"/>
    </row>
    <row r="4" spans="1:39" ht="24.75" customHeight="1" thickBot="1" x14ac:dyDescent="0.3">
      <c r="E4" s="186"/>
      <c r="H4" s="187" t="s">
        <v>28</v>
      </c>
      <c r="I4" s="188"/>
      <c r="J4" s="188"/>
      <c r="K4" s="188"/>
      <c r="L4" s="189" t="s">
        <v>16</v>
      </c>
      <c r="M4" s="188"/>
      <c r="N4" s="188"/>
      <c r="O4" s="188"/>
      <c r="P4" s="187" t="s">
        <v>29</v>
      </c>
      <c r="AD4" s="181"/>
      <c r="AE4" s="181"/>
      <c r="AF4" s="181"/>
      <c r="AG4" s="181"/>
      <c r="AH4" s="181"/>
      <c r="AI4" s="181"/>
      <c r="AJ4" s="181"/>
      <c r="AK4" s="181"/>
      <c r="AL4" s="181"/>
      <c r="AM4" s="181"/>
    </row>
    <row r="5" spans="1:39" ht="47.25" customHeight="1" thickBot="1" x14ac:dyDescent="0.3">
      <c r="A5" s="404" t="s">
        <v>30</v>
      </c>
      <c r="B5" s="405"/>
      <c r="C5" s="406" t="s">
        <v>95</v>
      </c>
      <c r="D5" s="407"/>
      <c r="E5" s="190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1:39" ht="24.75" customHeight="1" x14ac:dyDescent="0.25">
      <c r="A6" s="190"/>
      <c r="B6" s="190"/>
      <c r="E6" s="190"/>
      <c r="F6" s="397" t="s">
        <v>6</v>
      </c>
      <c r="G6" s="397"/>
      <c r="H6" s="397"/>
      <c r="I6" s="397"/>
      <c r="J6" s="397"/>
      <c r="K6" s="397"/>
      <c r="L6" s="397"/>
      <c r="M6" s="191"/>
      <c r="N6" s="397" t="s">
        <v>15</v>
      </c>
      <c r="O6" s="397"/>
      <c r="P6" s="397"/>
      <c r="Q6" s="397"/>
      <c r="R6" s="397"/>
      <c r="S6" s="397"/>
      <c r="T6" s="397"/>
      <c r="U6" s="191"/>
      <c r="V6" s="400" t="s">
        <v>7</v>
      </c>
      <c r="W6" s="400"/>
      <c r="X6" s="400"/>
      <c r="Y6" s="400"/>
      <c r="Z6" s="400"/>
      <c r="AA6" s="400"/>
      <c r="AB6" s="400"/>
      <c r="AC6" s="186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1:39" ht="24.75" customHeight="1" x14ac:dyDescent="0.25">
      <c r="A7" s="192" t="s">
        <v>23</v>
      </c>
      <c r="B7" s="193"/>
      <c r="C7" s="194"/>
      <c r="D7" s="195" t="str">
        <f ca="1">IF(MONTH(TODAY())&lt;6,"( in Nov-Dec   -   March. Forecast )","( in May-Jun   -   Nov. Forecast )")</f>
        <v>( in May-Jun   -   Nov. Forecast )</v>
      </c>
      <c r="E7" s="196"/>
      <c r="F7" s="398">
        <v>2015</v>
      </c>
      <c r="G7" s="393">
        <f>+F7+1</f>
        <v>2016</v>
      </c>
      <c r="H7" s="393">
        <f>+G7+1</f>
        <v>2017</v>
      </c>
      <c r="I7" s="395">
        <f>+H7+1</f>
        <v>2018</v>
      </c>
      <c r="J7" s="197"/>
      <c r="K7" s="198" t="s">
        <v>11</v>
      </c>
      <c r="L7" s="199"/>
      <c r="N7" s="401"/>
      <c r="O7" s="401"/>
      <c r="P7" s="401"/>
      <c r="Q7" s="401"/>
      <c r="R7" s="200"/>
      <c r="S7" s="201"/>
      <c r="T7" s="200"/>
      <c r="U7" s="202"/>
      <c r="V7" s="402"/>
      <c r="W7" s="402"/>
      <c r="X7" s="402"/>
      <c r="Y7" s="402"/>
      <c r="Z7" s="200"/>
      <c r="AA7" s="201"/>
      <c r="AB7" s="200"/>
      <c r="AC7" s="203"/>
      <c r="AD7" s="181"/>
      <c r="AE7" s="181"/>
      <c r="AF7" s="181"/>
      <c r="AG7" s="181"/>
      <c r="AH7" s="181"/>
      <c r="AI7" s="181"/>
      <c r="AJ7" s="181"/>
      <c r="AK7" s="181"/>
      <c r="AL7" s="181"/>
      <c r="AM7" s="181"/>
    </row>
    <row r="8" spans="1:39" ht="24.75" customHeight="1" x14ac:dyDescent="0.25">
      <c r="A8" s="204"/>
      <c r="B8" s="193"/>
      <c r="C8" s="194"/>
      <c r="D8" s="205" t="s">
        <v>24</v>
      </c>
      <c r="E8" s="196"/>
      <c r="F8" s="399"/>
      <c r="G8" s="394"/>
      <c r="H8" s="394"/>
      <c r="I8" s="396"/>
      <c r="J8" s="206" t="str">
        <f>G7&amp;"/"&amp;RIGHT(F7,2)</f>
        <v>2016/15</v>
      </c>
      <c r="K8" s="207" t="str">
        <f>H7&amp;"/"&amp;RIGHT(G7,2)</f>
        <v>2017/16</v>
      </c>
      <c r="L8" s="208" t="str">
        <f>I7&amp;"/"&amp;RIGHT(H7,2)</f>
        <v>2018/17</v>
      </c>
      <c r="N8" s="402"/>
      <c r="O8" s="402"/>
      <c r="P8" s="402"/>
      <c r="Q8" s="402"/>
      <c r="R8" s="209"/>
      <c r="S8" s="209"/>
      <c r="T8" s="209"/>
      <c r="U8" s="202"/>
      <c r="V8" s="402"/>
      <c r="W8" s="402"/>
      <c r="X8" s="402"/>
      <c r="Y8" s="402"/>
      <c r="Z8" s="209"/>
      <c r="AA8" s="209"/>
      <c r="AB8" s="209"/>
      <c r="AC8" s="202"/>
      <c r="AD8" s="181"/>
      <c r="AE8" s="181"/>
      <c r="AF8" s="181"/>
      <c r="AG8" s="181"/>
      <c r="AH8" s="181"/>
      <c r="AI8" s="181"/>
      <c r="AJ8" s="181"/>
      <c r="AK8" s="181"/>
      <c r="AL8" s="181"/>
      <c r="AM8" s="181"/>
    </row>
    <row r="9" spans="1:39" ht="24.75" customHeight="1" x14ac:dyDescent="0.25">
      <c r="A9" s="190"/>
      <c r="B9" s="210" t="s">
        <v>18</v>
      </c>
      <c r="C9" s="190"/>
      <c r="D9" s="190"/>
      <c r="E9" s="190"/>
      <c r="F9" s="211">
        <v>1566.4939999999999</v>
      </c>
      <c r="G9" s="212">
        <v>1553.6990000000001</v>
      </c>
      <c r="H9" s="212">
        <v>1565.405</v>
      </c>
      <c r="I9" s="212">
        <v>1565</v>
      </c>
      <c r="J9" s="56">
        <f t="shared" ref="J9:L12" si="0">IF(OR(G9=0,F9=0),"",G9/F9-1)</f>
        <v>-8.1679214858146887E-3</v>
      </c>
      <c r="K9" s="57">
        <f t="shared" si="0"/>
        <v>7.5342778749294403E-3</v>
      </c>
      <c r="L9" s="58">
        <f t="shared" si="0"/>
        <v>-2.5871898965446061E-4</v>
      </c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181"/>
      <c r="AE9" s="181"/>
      <c r="AF9" s="181"/>
      <c r="AG9" s="181"/>
      <c r="AH9" s="181"/>
      <c r="AI9" s="181"/>
      <c r="AJ9" s="181"/>
      <c r="AK9" s="181"/>
      <c r="AL9" s="181"/>
      <c r="AM9" s="181"/>
    </row>
    <row r="10" spans="1:39" ht="24.75" customHeight="1" x14ac:dyDescent="0.25">
      <c r="A10" s="190"/>
      <c r="C10" s="213" t="s">
        <v>33</v>
      </c>
      <c r="D10" s="186"/>
      <c r="E10" s="190"/>
      <c r="F10" s="214">
        <v>570.4</v>
      </c>
      <c r="G10" s="215">
        <v>564.79899999999998</v>
      </c>
      <c r="H10" s="215">
        <v>577</v>
      </c>
      <c r="I10" s="215">
        <v>575</v>
      </c>
      <c r="J10" s="59">
        <f t="shared" si="0"/>
        <v>-9.8194249649369292E-3</v>
      </c>
      <c r="K10" s="60">
        <f t="shared" si="0"/>
        <v>2.1602375358313441E-2</v>
      </c>
      <c r="L10" s="61">
        <f t="shared" si="0"/>
        <v>-3.4662045060658286E-3</v>
      </c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</row>
    <row r="11" spans="1:39" ht="24.75" customHeight="1" x14ac:dyDescent="0.25">
      <c r="A11" s="190"/>
      <c r="C11" s="216" t="s">
        <v>34</v>
      </c>
      <c r="D11" s="216"/>
      <c r="E11" s="190"/>
      <c r="F11" s="214">
        <v>93.763000000000005</v>
      </c>
      <c r="G11" s="215">
        <v>92.194000000000003</v>
      </c>
      <c r="H11" s="215">
        <v>95.162999999999997</v>
      </c>
      <c r="I11" s="215">
        <v>95</v>
      </c>
      <c r="J11" s="59">
        <f t="shared" si="0"/>
        <v>-1.6733679596429352E-2</v>
      </c>
      <c r="K11" s="60">
        <f t="shared" si="0"/>
        <v>3.2203831051912157E-2</v>
      </c>
      <c r="L11" s="61">
        <f t="shared" si="0"/>
        <v>-1.7128505826844442E-3</v>
      </c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</row>
    <row r="12" spans="1:39" ht="24.75" customHeight="1" x14ac:dyDescent="0.25">
      <c r="A12" s="190"/>
      <c r="C12" s="217" t="s">
        <v>38</v>
      </c>
      <c r="D12" s="186"/>
      <c r="E12" s="190"/>
      <c r="F12" s="218">
        <f>+F10+F11</f>
        <v>664.16300000000001</v>
      </c>
      <c r="G12" s="219">
        <f>+G10+G11</f>
        <v>656.99299999999994</v>
      </c>
      <c r="H12" s="219">
        <f>+H10+H11</f>
        <v>672.16300000000001</v>
      </c>
      <c r="I12" s="219">
        <f>+I10+I11</f>
        <v>670</v>
      </c>
      <c r="J12" s="59">
        <f t="shared" si="0"/>
        <v>-1.0795542660461455E-2</v>
      </c>
      <c r="K12" s="60">
        <f t="shared" si="0"/>
        <v>2.3090048143587616E-2</v>
      </c>
      <c r="L12" s="61">
        <f t="shared" si="0"/>
        <v>-3.2179694508623902E-3</v>
      </c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</row>
    <row r="13" spans="1:39" ht="24.75" customHeight="1" x14ac:dyDescent="0.25">
      <c r="A13" s="220" t="s">
        <v>8</v>
      </c>
      <c r="B13" s="193"/>
      <c r="C13" s="193"/>
      <c r="D13" s="193"/>
      <c r="E13" s="193"/>
      <c r="F13" s="398">
        <f>$F$7</f>
        <v>2015</v>
      </c>
      <c r="G13" s="393">
        <f>+F13+1</f>
        <v>2016</v>
      </c>
      <c r="H13" s="393">
        <f>+G13+1</f>
        <v>2017</v>
      </c>
      <c r="I13" s="395">
        <f>+H13+1</f>
        <v>2018</v>
      </c>
      <c r="J13" s="197"/>
      <c r="K13" s="198" t="s">
        <v>11</v>
      </c>
      <c r="L13" s="199"/>
      <c r="M13" s="221"/>
      <c r="N13" s="398">
        <f>$F$7</f>
        <v>2015</v>
      </c>
      <c r="O13" s="393">
        <f>+N13+1</f>
        <v>2016</v>
      </c>
      <c r="P13" s="393">
        <f>+O13+1</f>
        <v>2017</v>
      </c>
      <c r="Q13" s="395">
        <f>+P13+1</f>
        <v>2018</v>
      </c>
      <c r="R13" s="197"/>
      <c r="S13" s="198" t="s">
        <v>11</v>
      </c>
      <c r="T13" s="199"/>
      <c r="U13" s="221"/>
      <c r="V13" s="398">
        <f>$F$7</f>
        <v>2015</v>
      </c>
      <c r="W13" s="393">
        <f>+V13+1</f>
        <v>2016</v>
      </c>
      <c r="X13" s="393">
        <f>+W13+1</f>
        <v>2017</v>
      </c>
      <c r="Y13" s="395">
        <f>+X13+1</f>
        <v>2018</v>
      </c>
      <c r="Z13" s="197"/>
      <c r="AA13" s="198" t="s">
        <v>11</v>
      </c>
      <c r="AB13" s="199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</row>
    <row r="14" spans="1:39" ht="24.75" customHeight="1" x14ac:dyDescent="0.25">
      <c r="A14" s="222"/>
      <c r="B14" s="193"/>
      <c r="C14" s="193"/>
      <c r="D14" s="223" t="s">
        <v>25</v>
      </c>
      <c r="E14" s="193"/>
      <c r="F14" s="399"/>
      <c r="G14" s="394"/>
      <c r="H14" s="394"/>
      <c r="I14" s="396"/>
      <c r="J14" s="206" t="str">
        <f>G13&amp;"/"&amp;RIGHT(F13,2)</f>
        <v>2016/15</v>
      </c>
      <c r="K14" s="207" t="str">
        <f>H13&amp;"/"&amp;RIGHT(G13,2)</f>
        <v>2017/16</v>
      </c>
      <c r="L14" s="208" t="str">
        <f>I13&amp;"/"&amp;RIGHT(H13,2)</f>
        <v>2018/17</v>
      </c>
      <c r="M14" s="221"/>
      <c r="N14" s="399"/>
      <c r="O14" s="394"/>
      <c r="P14" s="394"/>
      <c r="Q14" s="396"/>
      <c r="R14" s="206" t="str">
        <f>O13&amp;"/"&amp;RIGHT(N13,2)</f>
        <v>2016/15</v>
      </c>
      <c r="S14" s="207" t="str">
        <f>P13&amp;"/"&amp;RIGHT(O13,2)</f>
        <v>2017/16</v>
      </c>
      <c r="T14" s="208" t="str">
        <f>Q13&amp;"/"&amp;RIGHT(P13,2)</f>
        <v>2018/17</v>
      </c>
      <c r="U14" s="221"/>
      <c r="V14" s="399"/>
      <c r="W14" s="394"/>
      <c r="X14" s="394"/>
      <c r="Y14" s="396"/>
      <c r="Z14" s="206" t="str">
        <f>W13&amp;"/"&amp;RIGHT(V13,2)</f>
        <v>2016/15</v>
      </c>
      <c r="AA14" s="207" t="str">
        <f>X13&amp;"/"&amp;RIGHT(W13,2)</f>
        <v>2017/16</v>
      </c>
      <c r="AB14" s="208" t="str">
        <f>Y13&amp;"/"&amp;RIGHT(X13,2)</f>
        <v>2018/17</v>
      </c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</row>
    <row r="15" spans="1:39" ht="24.75" customHeight="1" x14ac:dyDescent="0.25">
      <c r="A15" s="224"/>
      <c r="B15" s="224"/>
      <c r="C15" s="186" t="s">
        <v>1</v>
      </c>
      <c r="D15" s="186"/>
      <c r="E15" s="190"/>
      <c r="F15" s="225">
        <f>2.436+F24</f>
        <v>46.905000000000001</v>
      </c>
      <c r="G15" s="226">
        <f>0.749+G24</f>
        <v>49.93</v>
      </c>
      <c r="H15" s="226">
        <f>3.092+H24</f>
        <v>48.813499999999998</v>
      </c>
      <c r="I15" s="226">
        <v>49.4</v>
      </c>
      <c r="J15" s="62">
        <f t="shared" ref="J15:L21" si="1">IF(OR(G15=0,F15=0),"",G15/F15-1)</f>
        <v>6.4492058415947184E-2</v>
      </c>
      <c r="K15" s="63">
        <f t="shared" si="1"/>
        <v>-2.2361305828159428E-2</v>
      </c>
      <c r="L15" s="64">
        <f t="shared" si="1"/>
        <v>1.2015118768373467E-2</v>
      </c>
      <c r="N15" s="225">
        <f>0.563+N24</f>
        <v>14.489000000000001</v>
      </c>
      <c r="O15" s="226">
        <f>0.5633+O24</f>
        <v>14.9613</v>
      </c>
      <c r="P15" s="226">
        <f>0.56338+P24</f>
        <v>15.758980000000001</v>
      </c>
      <c r="Q15" s="226">
        <v>15.9</v>
      </c>
      <c r="R15" s="62">
        <f t="shared" ref="R15:T21" si="2">IF(OR(O15=0,N15=0),"",O15/N15-1)</f>
        <v>3.2597142659948952E-2</v>
      </c>
      <c r="S15" s="63">
        <f t="shared" si="2"/>
        <v>5.3316222520770395E-2</v>
      </c>
      <c r="T15" s="64">
        <f t="shared" si="2"/>
        <v>8.9485487004870023E-3</v>
      </c>
      <c r="V15" s="227">
        <f>+F15+N15</f>
        <v>61.394000000000005</v>
      </c>
      <c r="W15" s="228">
        <f t="shared" ref="W15:Y21" si="3">+G15+O15</f>
        <v>64.891300000000001</v>
      </c>
      <c r="X15" s="228">
        <f t="shared" si="3"/>
        <v>64.572479999999999</v>
      </c>
      <c r="Y15" s="229">
        <f t="shared" si="3"/>
        <v>65.3</v>
      </c>
      <c r="Z15" s="59">
        <f t="shared" ref="Z15:AB21" si="4">IF(OR(W15=0,V15=0),"",W15/V15-1)</f>
        <v>5.6964849985340571E-2</v>
      </c>
      <c r="AA15" s="60">
        <f t="shared" si="4"/>
        <v>-4.9131393576643534E-3</v>
      </c>
      <c r="AB15" s="61">
        <f t="shared" si="4"/>
        <v>1.1266719196784791E-2</v>
      </c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</row>
    <row r="16" spans="1:39" ht="24.75" customHeight="1" x14ac:dyDescent="0.25">
      <c r="A16" s="224"/>
      <c r="B16" s="224"/>
      <c r="C16" s="230" t="s">
        <v>2</v>
      </c>
      <c r="D16" s="230"/>
      <c r="E16" s="190"/>
      <c r="F16" s="231">
        <f>F17-F15</f>
        <v>50.016000000000005</v>
      </c>
      <c r="G16" s="232">
        <f>G17-G15</f>
        <v>52.18</v>
      </c>
      <c r="H16" s="232">
        <v>51</v>
      </c>
      <c r="I16" s="232">
        <v>51.8</v>
      </c>
      <c r="J16" s="65">
        <f t="shared" si="1"/>
        <v>4.326615483045404E-2</v>
      </c>
      <c r="K16" s="66">
        <f t="shared" si="1"/>
        <v>-2.2614028363357574E-2</v>
      </c>
      <c r="L16" s="67">
        <f t="shared" si="1"/>
        <v>1.5686274509803866E-2</v>
      </c>
      <c r="N16" s="231">
        <f>N17-N15</f>
        <v>14.133000000000003</v>
      </c>
      <c r="O16" s="232">
        <f>O17-O15</f>
        <v>15.232699999999999</v>
      </c>
      <c r="P16" s="232">
        <v>15.3</v>
      </c>
      <c r="Q16" s="232">
        <v>15.5</v>
      </c>
      <c r="R16" s="65">
        <f t="shared" si="2"/>
        <v>7.7810797424467282E-2</v>
      </c>
      <c r="S16" s="66">
        <f t="shared" si="2"/>
        <v>4.4181267930176737E-3</v>
      </c>
      <c r="T16" s="67">
        <f t="shared" si="2"/>
        <v>1.3071895424836555E-2</v>
      </c>
      <c r="V16" s="233">
        <f t="shared" ref="V16:V21" si="5">+F16+N16</f>
        <v>64.149000000000001</v>
      </c>
      <c r="W16" s="234">
        <f t="shared" si="3"/>
        <v>67.412700000000001</v>
      </c>
      <c r="X16" s="234">
        <f t="shared" si="3"/>
        <v>66.3</v>
      </c>
      <c r="Y16" s="235">
        <f t="shared" si="3"/>
        <v>67.3</v>
      </c>
      <c r="Z16" s="68">
        <f t="shared" si="4"/>
        <v>5.0876864799139554E-2</v>
      </c>
      <c r="AA16" s="69">
        <f t="shared" si="4"/>
        <v>-1.6505791935347514E-2</v>
      </c>
      <c r="AB16" s="70">
        <f t="shared" si="4"/>
        <v>1.5082956259426794E-2</v>
      </c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</row>
    <row r="17" spans="1:39" ht="24.75" customHeight="1" x14ac:dyDescent="0.25">
      <c r="A17" s="224"/>
      <c r="B17" s="224"/>
      <c r="C17" s="236" t="s">
        <v>3</v>
      </c>
      <c r="D17" s="186"/>
      <c r="E17" s="190"/>
      <c r="F17" s="218">
        <f>F20+F26</f>
        <v>96.921000000000006</v>
      </c>
      <c r="G17" s="218">
        <f>G20+G26</f>
        <v>102.11</v>
      </c>
      <c r="H17" s="218">
        <f>H20+H26</f>
        <v>99.721500000000006</v>
      </c>
      <c r="I17" s="218">
        <f>I20+I26</f>
        <v>100.60000000000001</v>
      </c>
      <c r="J17" s="68">
        <f t="shared" si="1"/>
        <v>5.3538448839776542E-2</v>
      </c>
      <c r="K17" s="69">
        <f t="shared" si="1"/>
        <v>-2.3391440603270919E-2</v>
      </c>
      <c r="L17" s="70">
        <f t="shared" si="1"/>
        <v>8.8095345537322345E-3</v>
      </c>
      <c r="M17" s="191">
        <f>+M15+M16</f>
        <v>0</v>
      </c>
      <c r="N17" s="218">
        <f>N20+N26</f>
        <v>28.622000000000003</v>
      </c>
      <c r="O17" s="218">
        <f>O20+O26</f>
        <v>30.193999999999999</v>
      </c>
      <c r="P17" s="218">
        <f>P20+P26</f>
        <v>31.2956</v>
      </c>
      <c r="Q17" s="218">
        <f>Q20+Q26</f>
        <v>31.7</v>
      </c>
      <c r="R17" s="68">
        <f t="shared" si="2"/>
        <v>5.4922786667598089E-2</v>
      </c>
      <c r="S17" s="69">
        <f t="shared" si="2"/>
        <v>3.6484069682718445E-2</v>
      </c>
      <c r="T17" s="70">
        <f t="shared" si="2"/>
        <v>1.2921944298879051E-2</v>
      </c>
      <c r="U17" s="191"/>
      <c r="V17" s="218">
        <f>+V15+V16</f>
        <v>125.54300000000001</v>
      </c>
      <c r="W17" s="219">
        <f>+W15+W16</f>
        <v>132.304</v>
      </c>
      <c r="X17" s="219">
        <f>+X15+X16</f>
        <v>130.87248</v>
      </c>
      <c r="Y17" s="237">
        <f>+Y15+Y16</f>
        <v>132.6</v>
      </c>
      <c r="Z17" s="68">
        <f t="shared" si="4"/>
        <v>5.3854057972168912E-2</v>
      </c>
      <c r="AA17" s="69">
        <f t="shared" si="4"/>
        <v>-1.0819929858507771E-2</v>
      </c>
      <c r="AB17" s="70">
        <f t="shared" si="4"/>
        <v>1.3200024940308364E-2</v>
      </c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</row>
    <row r="18" spans="1:39" ht="24.75" customHeight="1" x14ac:dyDescent="0.25">
      <c r="A18" s="190"/>
      <c r="B18" s="224"/>
      <c r="C18" s="213" t="s">
        <v>9</v>
      </c>
      <c r="D18" s="238" t="s">
        <v>39</v>
      </c>
      <c r="E18" s="190"/>
      <c r="F18" s="239"/>
      <c r="G18" s="240"/>
      <c r="H18" s="240"/>
      <c r="I18" s="241"/>
      <c r="J18" s="242" t="str">
        <f t="shared" si="1"/>
        <v/>
      </c>
      <c r="K18" s="243" t="str">
        <f t="shared" si="1"/>
        <v/>
      </c>
      <c r="L18" s="244" t="str">
        <f t="shared" si="1"/>
        <v/>
      </c>
      <c r="M18" s="245"/>
      <c r="N18" s="239"/>
      <c r="O18" s="240"/>
      <c r="P18" s="240"/>
      <c r="Q18" s="241"/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246">
        <f t="shared" si="5"/>
        <v>0</v>
      </c>
      <c r="W18" s="247">
        <f t="shared" si="3"/>
        <v>0</v>
      </c>
      <c r="X18" s="247">
        <f t="shared" si="3"/>
        <v>0</v>
      </c>
      <c r="Y18" s="248">
        <f t="shared" si="3"/>
        <v>0</v>
      </c>
      <c r="Z18" s="59" t="str">
        <f t="shared" si="4"/>
        <v/>
      </c>
      <c r="AA18" s="60" t="str">
        <f t="shared" si="4"/>
        <v/>
      </c>
      <c r="AB18" s="61" t="str">
        <f t="shared" si="4"/>
        <v/>
      </c>
      <c r="AD18" s="181"/>
      <c r="AE18" s="181"/>
      <c r="AF18" s="181"/>
      <c r="AG18" s="181"/>
      <c r="AH18" s="181"/>
      <c r="AI18" s="181"/>
      <c r="AJ18" s="181"/>
      <c r="AK18" s="249"/>
      <c r="AL18" s="181"/>
      <c r="AM18" s="181"/>
    </row>
    <row r="19" spans="1:39" ht="24.75" customHeight="1" x14ac:dyDescent="0.25">
      <c r="A19" s="190"/>
      <c r="B19" s="224"/>
      <c r="C19" s="250"/>
      <c r="D19" s="238" t="s">
        <v>40</v>
      </c>
      <c r="E19" s="190"/>
      <c r="F19" s="251"/>
      <c r="G19" s="252"/>
      <c r="H19" s="252"/>
      <c r="I19" s="253"/>
      <c r="J19" s="153" t="str">
        <f t="shared" si="1"/>
        <v/>
      </c>
      <c r="K19" s="154" t="str">
        <f t="shared" si="1"/>
        <v/>
      </c>
      <c r="L19" s="155" t="str">
        <f t="shared" si="1"/>
        <v/>
      </c>
      <c r="M19" s="245"/>
      <c r="N19" s="251"/>
      <c r="O19" s="252"/>
      <c r="P19" s="252"/>
      <c r="Q19" s="253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254">
        <f t="shared" si="5"/>
        <v>0</v>
      </c>
      <c r="W19" s="255">
        <f t="shared" si="3"/>
        <v>0</v>
      </c>
      <c r="X19" s="255">
        <f t="shared" si="3"/>
        <v>0</v>
      </c>
      <c r="Y19" s="256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</row>
    <row r="20" spans="1:39" ht="24.75" customHeight="1" x14ac:dyDescent="0.25">
      <c r="A20" s="190"/>
      <c r="B20" s="224"/>
      <c r="C20" s="213" t="s">
        <v>10</v>
      </c>
      <c r="D20" s="238" t="s">
        <v>39</v>
      </c>
      <c r="E20" s="190"/>
      <c r="F20" s="225">
        <v>3.9</v>
      </c>
      <c r="G20" s="226">
        <v>1.78</v>
      </c>
      <c r="H20" s="226">
        <v>4.2</v>
      </c>
      <c r="I20" s="257">
        <v>3.9</v>
      </c>
      <c r="J20" s="59">
        <f t="shared" si="1"/>
        <v>-0.54358974358974355</v>
      </c>
      <c r="K20" s="60">
        <f t="shared" si="1"/>
        <v>1.3595505617977528</v>
      </c>
      <c r="L20" s="61">
        <f t="shared" si="1"/>
        <v>-7.1428571428571508E-2</v>
      </c>
      <c r="N20" s="225">
        <v>1.1200000000000001</v>
      </c>
      <c r="O20" s="226">
        <v>1.1200000000000001</v>
      </c>
      <c r="P20" s="226">
        <v>1.2</v>
      </c>
      <c r="Q20" s="257">
        <v>1.2</v>
      </c>
      <c r="R20" s="59">
        <f t="shared" si="2"/>
        <v>0</v>
      </c>
      <c r="S20" s="60">
        <f t="shared" si="2"/>
        <v>7.1428571428571397E-2</v>
      </c>
      <c r="T20" s="61">
        <f t="shared" si="2"/>
        <v>0</v>
      </c>
      <c r="V20" s="246">
        <f t="shared" si="5"/>
        <v>5.0199999999999996</v>
      </c>
      <c r="W20" s="247">
        <f t="shared" si="3"/>
        <v>2.9000000000000004</v>
      </c>
      <c r="X20" s="247">
        <f t="shared" si="3"/>
        <v>5.4</v>
      </c>
      <c r="Y20" s="248">
        <f t="shared" si="3"/>
        <v>5.0999999999999996</v>
      </c>
      <c r="Z20" s="59">
        <f t="shared" si="4"/>
        <v>-0.4223107569721114</v>
      </c>
      <c r="AA20" s="60">
        <f t="shared" si="4"/>
        <v>0.86206896551724133</v>
      </c>
      <c r="AB20" s="61">
        <f t="shared" si="4"/>
        <v>-5.5555555555555691E-2</v>
      </c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</row>
    <row r="21" spans="1:39" ht="24.75" customHeight="1" x14ac:dyDescent="0.25">
      <c r="A21" s="190"/>
      <c r="B21" s="224"/>
      <c r="C21" s="213"/>
      <c r="D21" s="238" t="s">
        <v>40</v>
      </c>
      <c r="E21" s="190"/>
      <c r="F21" s="258"/>
      <c r="G21" s="259"/>
      <c r="H21" s="259"/>
      <c r="I21" s="260"/>
      <c r="J21" s="68" t="str">
        <f t="shared" si="1"/>
        <v/>
      </c>
      <c r="K21" s="69" t="str">
        <f t="shared" si="1"/>
        <v/>
      </c>
      <c r="L21" s="70" t="str">
        <f t="shared" si="1"/>
        <v/>
      </c>
      <c r="N21" s="258"/>
      <c r="O21" s="259"/>
      <c r="P21" s="259"/>
      <c r="Q21" s="260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254">
        <f t="shared" si="5"/>
        <v>0</v>
      </c>
      <c r="W21" s="255">
        <f t="shared" si="3"/>
        <v>0</v>
      </c>
      <c r="X21" s="255">
        <f t="shared" si="3"/>
        <v>0</v>
      </c>
      <c r="Y21" s="256">
        <f t="shared" si="3"/>
        <v>0</v>
      </c>
      <c r="Z21" s="68" t="str">
        <f t="shared" si="4"/>
        <v/>
      </c>
      <c r="AA21" s="69" t="str">
        <f t="shared" si="4"/>
        <v/>
      </c>
      <c r="AB21" s="70" t="str">
        <f t="shared" si="4"/>
        <v/>
      </c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</row>
    <row r="22" spans="1:39" ht="24.75" customHeight="1" x14ac:dyDescent="0.25">
      <c r="A22" s="192" t="s">
        <v>14</v>
      </c>
      <c r="B22" s="193"/>
      <c r="C22" s="194"/>
      <c r="D22" s="194"/>
      <c r="E22" s="193"/>
      <c r="F22" s="398">
        <f>$F$7</f>
        <v>2015</v>
      </c>
      <c r="G22" s="393">
        <f>+F22+1</f>
        <v>2016</v>
      </c>
      <c r="H22" s="393">
        <f>+G22+1</f>
        <v>2017</v>
      </c>
      <c r="I22" s="395">
        <f>+H22+1</f>
        <v>2018</v>
      </c>
      <c r="J22" s="197"/>
      <c r="K22" s="198" t="s">
        <v>11</v>
      </c>
      <c r="L22" s="199"/>
      <c r="M22" s="221"/>
      <c r="N22" s="398">
        <f>$F$7</f>
        <v>2015</v>
      </c>
      <c r="O22" s="393">
        <f>+N22+1</f>
        <v>2016</v>
      </c>
      <c r="P22" s="393">
        <f>+O22+1</f>
        <v>2017</v>
      </c>
      <c r="Q22" s="395">
        <f>+P22+1</f>
        <v>2018</v>
      </c>
      <c r="R22" s="197"/>
      <c r="S22" s="198" t="s">
        <v>11</v>
      </c>
      <c r="T22" s="199"/>
      <c r="U22" s="221"/>
      <c r="V22" s="398">
        <f>$F$7</f>
        <v>2015</v>
      </c>
      <c r="W22" s="393">
        <f>+V22+1</f>
        <v>2016</v>
      </c>
      <c r="X22" s="393">
        <f>+W22+1</f>
        <v>2017</v>
      </c>
      <c r="Y22" s="395">
        <f>+X22+1</f>
        <v>2018</v>
      </c>
      <c r="Z22" s="197"/>
      <c r="AA22" s="198" t="s">
        <v>11</v>
      </c>
      <c r="AB22" s="199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</row>
    <row r="23" spans="1:39" ht="24.75" customHeight="1" x14ac:dyDescent="0.25">
      <c r="A23" s="204"/>
      <c r="B23" s="193"/>
      <c r="C23" s="194"/>
      <c r="D23" s="223" t="s">
        <v>26</v>
      </c>
      <c r="E23" s="193"/>
      <c r="F23" s="399"/>
      <c r="G23" s="394"/>
      <c r="H23" s="394"/>
      <c r="I23" s="396"/>
      <c r="J23" s="206" t="str">
        <f>G22&amp;"/"&amp;RIGHT(F22,2)</f>
        <v>2016/15</v>
      </c>
      <c r="K23" s="207" t="str">
        <f>H22&amp;"/"&amp;RIGHT(G22,2)</f>
        <v>2017/16</v>
      </c>
      <c r="L23" s="208" t="str">
        <f>I22&amp;"/"&amp;RIGHT(H22,2)</f>
        <v>2018/17</v>
      </c>
      <c r="M23" s="221"/>
      <c r="N23" s="399"/>
      <c r="O23" s="394"/>
      <c r="P23" s="394"/>
      <c r="Q23" s="396"/>
      <c r="R23" s="206" t="str">
        <f>O22&amp;"/"&amp;RIGHT(N22,2)</f>
        <v>2016/15</v>
      </c>
      <c r="S23" s="207" t="str">
        <f>P22&amp;"/"&amp;RIGHT(O22,2)</f>
        <v>2017/16</v>
      </c>
      <c r="T23" s="208" t="str">
        <f>Q22&amp;"/"&amp;RIGHT(P22,2)</f>
        <v>2018/17</v>
      </c>
      <c r="U23" s="221"/>
      <c r="V23" s="399"/>
      <c r="W23" s="394"/>
      <c r="X23" s="394"/>
      <c r="Y23" s="396"/>
      <c r="Z23" s="206" t="str">
        <f>W22&amp;"/"&amp;RIGHT(V22,2)</f>
        <v>2016/15</v>
      </c>
      <c r="AA23" s="207" t="str">
        <f>X22&amp;"/"&amp;RIGHT(W22,2)</f>
        <v>2017/16</v>
      </c>
      <c r="AB23" s="208" t="str">
        <f>Y22&amp;"/"&amp;RIGHT(X22,2)</f>
        <v>2018/17</v>
      </c>
      <c r="AC23" s="186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</row>
    <row r="24" spans="1:39" ht="24.75" customHeight="1" x14ac:dyDescent="0.25">
      <c r="A24" s="224"/>
      <c r="B24" s="224"/>
      <c r="C24" s="186" t="s">
        <v>1</v>
      </c>
      <c r="D24" s="186"/>
      <c r="E24" s="190"/>
      <c r="F24" s="225">
        <v>44.469000000000001</v>
      </c>
      <c r="G24" s="226">
        <v>49.180999999999997</v>
      </c>
      <c r="H24" s="226">
        <v>45.721499999999999</v>
      </c>
      <c r="I24" s="226">
        <v>46.2</v>
      </c>
      <c r="J24" s="59">
        <f t="shared" ref="J24:L30" si="6">IF(OR(G24=0,F24=0),"",G24/F24-1)</f>
        <v>0.10596145629539677</v>
      </c>
      <c r="K24" s="60">
        <f t="shared" si="6"/>
        <v>-7.0342205323193907E-2</v>
      </c>
      <c r="L24" s="61">
        <f t="shared" si="6"/>
        <v>1.0465535907614676E-2</v>
      </c>
      <c r="N24" s="225">
        <v>13.926</v>
      </c>
      <c r="O24" s="226">
        <v>14.398</v>
      </c>
      <c r="P24" s="226">
        <v>15.195600000000001</v>
      </c>
      <c r="Q24" s="226">
        <v>15.4</v>
      </c>
      <c r="R24" s="59">
        <f t="shared" ref="R24:T30" si="7">IF(OR(O24=0,N24=0),"",O24/N24-1)</f>
        <v>3.3893436737038707E-2</v>
      </c>
      <c r="S24" s="60">
        <f t="shared" si="7"/>
        <v>5.5396582858730392E-2</v>
      </c>
      <c r="T24" s="61">
        <f t="shared" si="7"/>
        <v>1.3451262207481163E-2</v>
      </c>
      <c r="V24" s="227">
        <f t="shared" ref="V24:X25" si="8">+F24+N24</f>
        <v>58.395000000000003</v>
      </c>
      <c r="W24" s="228">
        <f t="shared" si="8"/>
        <v>63.578999999999994</v>
      </c>
      <c r="X24" s="228">
        <f t="shared" si="8"/>
        <v>60.917099999999998</v>
      </c>
      <c r="Y24" s="229">
        <f>+I24+Q24</f>
        <v>61.6</v>
      </c>
      <c r="Z24" s="59">
        <f t="shared" ref="Z24:AB30" si="9">IF(OR(W24=0,V24=0),"",W24/V24-1)</f>
        <v>8.8774723863344285E-2</v>
      </c>
      <c r="AA24" s="60">
        <f t="shared" si="9"/>
        <v>-4.1867597791723665E-2</v>
      </c>
      <c r="AB24" s="61">
        <f t="shared" si="9"/>
        <v>1.1210316971753453E-2</v>
      </c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</row>
    <row r="25" spans="1:39" ht="24.75" customHeight="1" x14ac:dyDescent="0.25">
      <c r="A25" s="224"/>
      <c r="B25" s="224"/>
      <c r="C25" s="230" t="s">
        <v>2</v>
      </c>
      <c r="D25" s="230"/>
      <c r="E25" s="190"/>
      <c r="F25" s="231">
        <v>48.552</v>
      </c>
      <c r="G25" s="232">
        <v>51.149000000000001</v>
      </c>
      <c r="H25" s="232">
        <v>49.8</v>
      </c>
      <c r="I25" s="232">
        <v>50.5</v>
      </c>
      <c r="J25" s="68">
        <f t="shared" si="6"/>
        <v>5.3489042675893828E-2</v>
      </c>
      <c r="K25" s="69">
        <f t="shared" si="6"/>
        <v>-2.6373927154001109E-2</v>
      </c>
      <c r="L25" s="70">
        <f t="shared" si="6"/>
        <v>1.4056224899598346E-2</v>
      </c>
      <c r="N25" s="231">
        <v>13.576000000000001</v>
      </c>
      <c r="O25" s="232">
        <v>14.676</v>
      </c>
      <c r="P25" s="232">
        <v>14.9</v>
      </c>
      <c r="Q25" s="232">
        <v>15.1</v>
      </c>
      <c r="R25" s="68">
        <f t="shared" si="7"/>
        <v>8.102533883323515E-2</v>
      </c>
      <c r="S25" s="69">
        <f t="shared" si="7"/>
        <v>1.526301444535294E-2</v>
      </c>
      <c r="T25" s="70">
        <f t="shared" si="7"/>
        <v>1.3422818791946289E-2</v>
      </c>
      <c r="V25" s="233">
        <f t="shared" si="8"/>
        <v>62.128</v>
      </c>
      <c r="W25" s="234">
        <f t="shared" si="8"/>
        <v>65.825000000000003</v>
      </c>
      <c r="X25" s="234">
        <f t="shared" si="8"/>
        <v>64.7</v>
      </c>
      <c r="Y25" s="235">
        <f>+I25+Q25</f>
        <v>65.599999999999994</v>
      </c>
      <c r="Z25" s="68">
        <f t="shared" si="9"/>
        <v>5.9506180788050589E-2</v>
      </c>
      <c r="AA25" s="69">
        <f t="shared" si="9"/>
        <v>-1.7090770983668846E-2</v>
      </c>
      <c r="AB25" s="70">
        <f t="shared" si="9"/>
        <v>1.3910355486862258E-2</v>
      </c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</row>
    <row r="26" spans="1:39" ht="24.75" customHeight="1" x14ac:dyDescent="0.25">
      <c r="A26" s="224"/>
      <c r="B26" s="224"/>
      <c r="C26" s="236" t="s">
        <v>3</v>
      </c>
      <c r="D26" s="186"/>
      <c r="E26" s="190"/>
      <c r="F26" s="218">
        <f>+F24+F25</f>
        <v>93.021000000000001</v>
      </c>
      <c r="G26" s="219">
        <f>+G24+G25</f>
        <v>100.33</v>
      </c>
      <c r="H26" s="219">
        <f>+H24+H25</f>
        <v>95.521500000000003</v>
      </c>
      <c r="I26" s="237">
        <f>+I24+I25</f>
        <v>96.7</v>
      </c>
      <c r="J26" s="68">
        <f t="shared" si="6"/>
        <v>7.8573655411143584E-2</v>
      </c>
      <c r="K26" s="69">
        <f t="shared" si="6"/>
        <v>-4.7926841423303057E-2</v>
      </c>
      <c r="L26" s="70">
        <f t="shared" si="6"/>
        <v>1.2337536575535379E-2</v>
      </c>
      <c r="M26" s="191"/>
      <c r="N26" s="218">
        <f>+N24+N25</f>
        <v>27.502000000000002</v>
      </c>
      <c r="O26" s="219">
        <f>+O24+O25</f>
        <v>29.073999999999998</v>
      </c>
      <c r="P26" s="219">
        <f>+P24+P25</f>
        <v>30.095600000000001</v>
      </c>
      <c r="Q26" s="237">
        <f>+Q24+Q25</f>
        <v>30.5</v>
      </c>
      <c r="R26" s="68">
        <f t="shared" si="7"/>
        <v>5.7159479310595396E-2</v>
      </c>
      <c r="S26" s="69">
        <f t="shared" si="7"/>
        <v>3.5137923918277636E-2</v>
      </c>
      <c r="T26" s="70">
        <f t="shared" si="7"/>
        <v>1.3437180185807751E-2</v>
      </c>
      <c r="U26" s="191"/>
      <c r="V26" s="218">
        <f>+V24+V25</f>
        <v>120.523</v>
      </c>
      <c r="W26" s="219">
        <f>+W24+W25</f>
        <v>129.404</v>
      </c>
      <c r="X26" s="219">
        <f>+X24+X25</f>
        <v>125.61709999999999</v>
      </c>
      <c r="Y26" s="237">
        <f>+Y24+Y25</f>
        <v>127.19999999999999</v>
      </c>
      <c r="Z26" s="68">
        <f t="shared" si="9"/>
        <v>7.3687180040324263E-2</v>
      </c>
      <c r="AA26" s="69">
        <f t="shared" si="9"/>
        <v>-2.9264164940805526E-2</v>
      </c>
      <c r="AB26" s="70">
        <f t="shared" si="9"/>
        <v>1.2600991425530506E-2</v>
      </c>
      <c r="AD26" s="181"/>
      <c r="AE26" s="181"/>
      <c r="AF26" s="181"/>
      <c r="AG26" s="181"/>
      <c r="AH26" s="181"/>
      <c r="AI26" s="181"/>
      <c r="AJ26" s="181"/>
      <c r="AK26" s="181"/>
      <c r="AL26" s="181"/>
      <c r="AM26" s="181"/>
    </row>
    <row r="27" spans="1:39" ht="24.75" customHeight="1" x14ac:dyDescent="0.25">
      <c r="A27" s="190"/>
      <c r="B27" s="224"/>
      <c r="C27" s="213" t="s">
        <v>4</v>
      </c>
      <c r="D27" s="238" t="s">
        <v>39</v>
      </c>
      <c r="E27" s="190"/>
      <c r="F27" s="239"/>
      <c r="G27" s="240"/>
      <c r="H27" s="240"/>
      <c r="I27" s="241"/>
      <c r="J27" s="242" t="str">
        <f t="shared" si="6"/>
        <v/>
      </c>
      <c r="K27" s="243" t="str">
        <f t="shared" si="6"/>
        <v/>
      </c>
      <c r="L27" s="244" t="str">
        <f t="shared" si="6"/>
        <v/>
      </c>
      <c r="M27" s="245"/>
      <c r="N27" s="239"/>
      <c r="O27" s="240"/>
      <c r="P27" s="240"/>
      <c r="Q27" s="241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246">
        <v>125.98</v>
      </c>
      <c r="W27" s="247">
        <v>122.587</v>
      </c>
      <c r="X27" s="247">
        <v>123.81</v>
      </c>
      <c r="Y27" s="241">
        <v>125</v>
      </c>
      <c r="Z27" s="59">
        <f t="shared" si="9"/>
        <v>-2.6932846483568862E-2</v>
      </c>
      <c r="AA27" s="60">
        <f t="shared" si="9"/>
        <v>9.9765880558297937E-3</v>
      </c>
      <c r="AB27" s="61">
        <f t="shared" si="9"/>
        <v>9.6115014942250721E-3</v>
      </c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</row>
    <row r="28" spans="1:39" ht="24.75" customHeight="1" x14ac:dyDescent="0.25">
      <c r="A28" s="190"/>
      <c r="B28" s="224"/>
      <c r="C28" s="213"/>
      <c r="D28" s="238" t="s">
        <v>40</v>
      </c>
      <c r="E28" s="190"/>
      <c r="F28" s="251"/>
      <c r="G28" s="252"/>
      <c r="H28" s="252"/>
      <c r="I28" s="253"/>
      <c r="J28" s="153" t="str">
        <f t="shared" si="6"/>
        <v/>
      </c>
      <c r="K28" s="154" t="str">
        <f t="shared" si="6"/>
        <v/>
      </c>
      <c r="L28" s="155" t="str">
        <f t="shared" si="6"/>
        <v/>
      </c>
      <c r="M28" s="245"/>
      <c r="N28" s="251"/>
      <c r="O28" s="252"/>
      <c r="P28" s="252"/>
      <c r="Q28" s="253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254">
        <v>1.67</v>
      </c>
      <c r="W28" s="255">
        <v>1.581</v>
      </c>
      <c r="X28" s="255">
        <v>1.7</v>
      </c>
      <c r="Y28" s="253">
        <v>1.8</v>
      </c>
      <c r="Z28" s="68">
        <f t="shared" si="9"/>
        <v>-5.329341317365266E-2</v>
      </c>
      <c r="AA28" s="69">
        <f t="shared" si="9"/>
        <v>7.5268817204301008E-2</v>
      </c>
      <c r="AB28" s="70">
        <f t="shared" si="9"/>
        <v>5.8823529411764719E-2</v>
      </c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</row>
    <row r="29" spans="1:39" ht="24.75" customHeight="1" x14ac:dyDescent="0.25">
      <c r="A29" s="190"/>
      <c r="B29" s="224"/>
      <c r="C29" s="213" t="s">
        <v>5</v>
      </c>
      <c r="D29" s="238" t="s">
        <v>39</v>
      </c>
      <c r="E29" s="190"/>
      <c r="F29" s="239"/>
      <c r="G29" s="240"/>
      <c r="H29" s="240"/>
      <c r="I29" s="241"/>
      <c r="J29" s="242" t="str">
        <f t="shared" si="6"/>
        <v/>
      </c>
      <c r="K29" s="243" t="str">
        <f t="shared" si="6"/>
        <v/>
      </c>
      <c r="L29" s="244" t="str">
        <f t="shared" si="6"/>
        <v/>
      </c>
      <c r="M29" s="245"/>
      <c r="N29" s="239"/>
      <c r="O29" s="240"/>
      <c r="P29" s="240"/>
      <c r="Q29" s="241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246">
        <v>90.5458</v>
      </c>
      <c r="W29" s="247">
        <v>94.003500000000003</v>
      </c>
      <c r="X29" s="247">
        <v>95.88</v>
      </c>
      <c r="Y29" s="247">
        <v>97.32</v>
      </c>
      <c r="Z29" s="59">
        <f t="shared" si="9"/>
        <v>3.8187304104662978E-2</v>
      </c>
      <c r="AA29" s="60">
        <f t="shared" si="9"/>
        <v>1.996202269064451E-2</v>
      </c>
      <c r="AB29" s="61">
        <f t="shared" si="9"/>
        <v>1.5018773466833446E-2</v>
      </c>
      <c r="AD29" s="181"/>
      <c r="AE29" s="181"/>
      <c r="AF29" s="181"/>
      <c r="AG29" s="181"/>
      <c r="AH29" s="181"/>
      <c r="AI29" s="181"/>
      <c r="AJ29" s="181"/>
      <c r="AK29" s="181"/>
      <c r="AL29" s="181"/>
      <c r="AM29" s="181"/>
    </row>
    <row r="30" spans="1:39" ht="24.75" customHeight="1" x14ac:dyDescent="0.25">
      <c r="A30" s="261"/>
      <c r="B30" s="224"/>
      <c r="C30" s="213"/>
      <c r="D30" s="238" t="s">
        <v>40</v>
      </c>
      <c r="E30" s="190"/>
      <c r="F30" s="251"/>
      <c r="G30" s="252"/>
      <c r="H30" s="252"/>
      <c r="I30" s="253"/>
      <c r="J30" s="153" t="str">
        <f t="shared" si="6"/>
        <v/>
      </c>
      <c r="K30" s="154" t="str">
        <f t="shared" si="6"/>
        <v/>
      </c>
      <c r="L30" s="155" t="str">
        <f t="shared" si="6"/>
        <v/>
      </c>
      <c r="M30" s="245"/>
      <c r="N30" s="251"/>
      <c r="O30" s="252"/>
      <c r="P30" s="252"/>
      <c r="Q30" s="253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254">
        <v>6.4850000000000003</v>
      </c>
      <c r="W30" s="255">
        <v>7.2869999999999999</v>
      </c>
      <c r="X30" s="255">
        <v>8.6</v>
      </c>
      <c r="Y30" s="255">
        <v>9.3000000000000007</v>
      </c>
      <c r="Z30" s="65">
        <f t="shared" si="9"/>
        <v>0.12367000771010006</v>
      </c>
      <c r="AA30" s="66">
        <f t="shared" si="9"/>
        <v>0.18018388911760663</v>
      </c>
      <c r="AB30" s="67">
        <f t="shared" si="9"/>
        <v>8.1395348837209447E-2</v>
      </c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</row>
    <row r="31" spans="1:39" ht="24.75" customHeight="1" x14ac:dyDescent="0.25">
      <c r="A31" s="192" t="s">
        <v>17</v>
      </c>
      <c r="B31" s="193"/>
      <c r="C31" s="194"/>
      <c r="D31" s="194"/>
      <c r="E31" s="193"/>
      <c r="F31" s="398">
        <f>$F$7</f>
        <v>2015</v>
      </c>
      <c r="G31" s="393">
        <f>+F31+1</f>
        <v>2016</v>
      </c>
      <c r="H31" s="393">
        <f>+G31+1</f>
        <v>2017</v>
      </c>
      <c r="I31" s="395">
        <f>+H31+1</f>
        <v>2018</v>
      </c>
      <c r="J31" s="197"/>
      <c r="K31" s="198" t="s">
        <v>11</v>
      </c>
      <c r="L31" s="199"/>
      <c r="M31" s="221"/>
      <c r="N31" s="398">
        <f>$F$7</f>
        <v>2015</v>
      </c>
      <c r="O31" s="393">
        <f>+N31+1</f>
        <v>2016</v>
      </c>
      <c r="P31" s="393">
        <f>+O31+1</f>
        <v>2017</v>
      </c>
      <c r="Q31" s="395">
        <f>+P31+1</f>
        <v>2018</v>
      </c>
      <c r="R31" s="197"/>
      <c r="S31" s="198" t="s">
        <v>11</v>
      </c>
      <c r="T31" s="199"/>
      <c r="U31" s="221"/>
      <c r="V31" s="398">
        <f>$F$7</f>
        <v>2015</v>
      </c>
      <c r="W31" s="393">
        <f>+V31+1</f>
        <v>2016</v>
      </c>
      <c r="X31" s="393">
        <f>+W31+1</f>
        <v>2017</v>
      </c>
      <c r="Y31" s="395">
        <f>+X31+1</f>
        <v>2018</v>
      </c>
      <c r="Z31" s="197"/>
      <c r="AA31" s="198" t="s">
        <v>11</v>
      </c>
      <c r="AB31" s="199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</row>
    <row r="32" spans="1:39" ht="24.75" customHeight="1" x14ac:dyDescent="0.25">
      <c r="A32" s="204"/>
      <c r="B32" s="193"/>
      <c r="C32" s="194"/>
      <c r="D32" s="194"/>
      <c r="E32" s="193"/>
      <c r="F32" s="399"/>
      <c r="G32" s="394"/>
      <c r="H32" s="394"/>
      <c r="I32" s="396"/>
      <c r="J32" s="206" t="str">
        <f>G31&amp;"/"&amp;RIGHT(F31,2)</f>
        <v>2016/15</v>
      </c>
      <c r="K32" s="207" t="str">
        <f>H31&amp;"/"&amp;RIGHT(G31,2)</f>
        <v>2017/16</v>
      </c>
      <c r="L32" s="208" t="str">
        <f>I31&amp;"/"&amp;RIGHT(H31,2)</f>
        <v>2018/17</v>
      </c>
      <c r="M32" s="221"/>
      <c r="N32" s="399"/>
      <c r="O32" s="394"/>
      <c r="P32" s="394"/>
      <c r="Q32" s="396"/>
      <c r="R32" s="206" t="str">
        <f>O31&amp;"/"&amp;RIGHT(N31,2)</f>
        <v>2016/15</v>
      </c>
      <c r="S32" s="207" t="str">
        <f>P31&amp;"/"&amp;RIGHT(O31,2)</f>
        <v>2017/16</v>
      </c>
      <c r="T32" s="208" t="str">
        <f>Q31&amp;"/"&amp;RIGHT(P31,2)</f>
        <v>2018/17</v>
      </c>
      <c r="U32" s="221"/>
      <c r="V32" s="399"/>
      <c r="W32" s="394"/>
      <c r="X32" s="394"/>
      <c r="Y32" s="396"/>
      <c r="Z32" s="206" t="str">
        <f>W31&amp;"/"&amp;RIGHT(V31,2)</f>
        <v>2016/15</v>
      </c>
      <c r="AA32" s="207" t="str">
        <f>X31&amp;"/"&amp;RIGHT(W31,2)</f>
        <v>2017/16</v>
      </c>
      <c r="AB32" s="208" t="str">
        <f>Y31&amp;"/"&amp;RIGHT(X31,2)</f>
        <v>2018/17</v>
      </c>
      <c r="AC32" s="190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</row>
    <row r="33" spans="1:39" ht="24.75" customHeight="1" x14ac:dyDescent="0.25">
      <c r="A33" s="224"/>
      <c r="B33" s="190"/>
      <c r="C33" s="186" t="s">
        <v>1</v>
      </c>
      <c r="D33" s="186"/>
      <c r="E33" s="190"/>
      <c r="F33" s="262"/>
      <c r="G33" s="263"/>
      <c r="H33" s="263"/>
      <c r="I33" s="264"/>
      <c r="J33" s="265" t="str">
        <f t="shared" ref="J33:L36" si="10">IF(OR(G33=0,F33=0),"",G33/F33-1)</f>
        <v/>
      </c>
      <c r="K33" s="266" t="str">
        <f t="shared" si="10"/>
        <v/>
      </c>
      <c r="L33" s="267" t="str">
        <f t="shared" si="10"/>
        <v/>
      </c>
      <c r="M33" s="245"/>
      <c r="N33" s="262"/>
      <c r="O33" s="263"/>
      <c r="P33" s="263"/>
      <c r="Q33" s="264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227">
        <f t="shared" ref="V33:Y34" si="12">+F33+N33</f>
        <v>0</v>
      </c>
      <c r="W33" s="228">
        <f t="shared" si="12"/>
        <v>0</v>
      </c>
      <c r="X33" s="228">
        <f t="shared" si="12"/>
        <v>0</v>
      </c>
      <c r="Y33" s="229">
        <f t="shared" si="12"/>
        <v>0</v>
      </c>
      <c r="Z33" s="62" t="str">
        <f t="shared" ref="Z33:AB36" si="13">IF(OR(W33=0,V33=0),"",W33/V33-1)</f>
        <v/>
      </c>
      <c r="AA33" s="63" t="str">
        <f t="shared" si="13"/>
        <v/>
      </c>
      <c r="AB33" s="64" t="str">
        <f t="shared" si="13"/>
        <v/>
      </c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</row>
    <row r="34" spans="1:39" ht="24.75" customHeight="1" x14ac:dyDescent="0.25">
      <c r="A34" s="224"/>
      <c r="B34" s="190"/>
      <c r="C34" s="230" t="s">
        <v>2</v>
      </c>
      <c r="D34" s="230"/>
      <c r="E34" s="190"/>
      <c r="F34" s="268"/>
      <c r="G34" s="269"/>
      <c r="H34" s="269"/>
      <c r="I34" s="270"/>
      <c r="J34" s="271" t="str">
        <f t="shared" si="10"/>
        <v/>
      </c>
      <c r="K34" s="272" t="str">
        <f t="shared" si="10"/>
        <v/>
      </c>
      <c r="L34" s="273" t="str">
        <f t="shared" si="10"/>
        <v/>
      </c>
      <c r="M34" s="245"/>
      <c r="N34" s="268"/>
      <c r="O34" s="269"/>
      <c r="P34" s="269"/>
      <c r="Q34" s="270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233">
        <f t="shared" si="12"/>
        <v>0</v>
      </c>
      <c r="W34" s="234">
        <f t="shared" si="12"/>
        <v>0</v>
      </c>
      <c r="X34" s="234">
        <f t="shared" si="12"/>
        <v>0</v>
      </c>
      <c r="Y34" s="235">
        <f t="shared" si="12"/>
        <v>0</v>
      </c>
      <c r="Z34" s="65" t="str">
        <f t="shared" si="13"/>
        <v/>
      </c>
      <c r="AA34" s="66" t="str">
        <f t="shared" si="13"/>
        <v/>
      </c>
      <c r="AB34" s="67" t="str">
        <f t="shared" si="13"/>
        <v/>
      </c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</row>
    <row r="35" spans="1:39" ht="24.75" customHeight="1" x14ac:dyDescent="0.25">
      <c r="A35" s="224"/>
      <c r="B35" s="190"/>
      <c r="C35" s="236" t="s">
        <v>3</v>
      </c>
      <c r="D35" s="186"/>
      <c r="E35" s="190"/>
      <c r="F35" s="274">
        <f>+F33+F34</f>
        <v>0</v>
      </c>
      <c r="G35" s="275">
        <f>+G33+G34</f>
        <v>0</v>
      </c>
      <c r="H35" s="275">
        <f>+H33+H34</f>
        <v>0</v>
      </c>
      <c r="I35" s="276">
        <f>+I33+I34</f>
        <v>0</v>
      </c>
      <c r="J35" s="153" t="str">
        <f t="shared" si="10"/>
        <v/>
      </c>
      <c r="K35" s="154" t="str">
        <f t="shared" si="10"/>
        <v/>
      </c>
      <c r="L35" s="155" t="str">
        <f t="shared" si="10"/>
        <v/>
      </c>
      <c r="M35" s="277"/>
      <c r="N35" s="274">
        <f>+N33+N34</f>
        <v>0</v>
      </c>
      <c r="O35" s="275">
        <f>+O33+O34</f>
        <v>0</v>
      </c>
      <c r="P35" s="275">
        <f>+P33+P34</f>
        <v>0</v>
      </c>
      <c r="Q35" s="276">
        <f>+Q33+Q34</f>
        <v>0</v>
      </c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191"/>
      <c r="V35" s="274">
        <v>152.1</v>
      </c>
      <c r="W35" s="275">
        <v>153.30000000000001</v>
      </c>
      <c r="X35" s="275">
        <v>148</v>
      </c>
      <c r="Y35" s="276">
        <v>149</v>
      </c>
      <c r="Z35" s="68">
        <f t="shared" si="13"/>
        <v>7.8895463510848529E-3</v>
      </c>
      <c r="AA35" s="69">
        <f t="shared" si="13"/>
        <v>-3.4572733202870243E-2</v>
      </c>
      <c r="AB35" s="70">
        <f t="shared" si="13"/>
        <v>6.7567567567567988E-3</v>
      </c>
      <c r="AD35" s="181"/>
      <c r="AE35" s="181"/>
      <c r="AF35" s="181"/>
      <c r="AG35" s="181"/>
      <c r="AH35" s="181"/>
      <c r="AI35" s="181"/>
      <c r="AJ35" s="181"/>
      <c r="AK35" s="181"/>
      <c r="AL35" s="181"/>
      <c r="AM35" s="181"/>
    </row>
    <row r="36" spans="1:39" ht="24.75" customHeight="1" x14ac:dyDescent="0.25">
      <c r="A36" s="224"/>
      <c r="C36" s="278" t="s">
        <v>12</v>
      </c>
      <c r="D36" s="52"/>
      <c r="E36" s="11"/>
      <c r="F36" s="251"/>
      <c r="G36" s="252"/>
      <c r="H36" s="252"/>
      <c r="I36" s="253"/>
      <c r="J36" s="153" t="str">
        <f t="shared" si="10"/>
        <v/>
      </c>
      <c r="K36" s="154" t="str">
        <f t="shared" si="10"/>
        <v/>
      </c>
      <c r="L36" s="155" t="str">
        <f t="shared" si="10"/>
        <v/>
      </c>
      <c r="M36" s="245"/>
      <c r="N36" s="251"/>
      <c r="O36" s="252"/>
      <c r="P36" s="252"/>
      <c r="Q36" s="253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251">
        <v>26.7</v>
      </c>
      <c r="W36" s="252">
        <v>26.7</v>
      </c>
      <c r="X36" s="252">
        <v>25.6</v>
      </c>
      <c r="Y36" s="253">
        <v>25.5</v>
      </c>
      <c r="Z36" s="68">
        <f t="shared" si="13"/>
        <v>0</v>
      </c>
      <c r="AA36" s="69">
        <f t="shared" si="13"/>
        <v>-4.1198501872659055E-2</v>
      </c>
      <c r="AB36" s="70">
        <f t="shared" si="13"/>
        <v>-3.90625E-3</v>
      </c>
      <c r="AC36" s="52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</row>
    <row r="37" spans="1:39" ht="24.75" customHeight="1" x14ac:dyDescent="0.25">
      <c r="A37" s="224"/>
      <c r="B37" s="279"/>
      <c r="C37" s="278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81"/>
      <c r="AE37" s="181"/>
      <c r="AF37" s="181"/>
      <c r="AG37" s="181"/>
      <c r="AH37" s="181"/>
      <c r="AI37" s="181"/>
      <c r="AJ37" s="181"/>
      <c r="AK37" s="181"/>
      <c r="AL37" s="181"/>
      <c r="AM37" s="181"/>
    </row>
    <row r="38" spans="1:39" ht="24.75" customHeight="1" x14ac:dyDescent="0.25">
      <c r="A38" s="192" t="s">
        <v>13</v>
      </c>
      <c r="B38" s="193"/>
      <c r="C38" s="280"/>
      <c r="D38" s="223" t="s">
        <v>27</v>
      </c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</row>
    <row r="39" spans="1:39" ht="24.75" customHeight="1" x14ac:dyDescent="0.25">
      <c r="A39" s="281"/>
      <c r="B39" s="281"/>
      <c r="C39" s="281"/>
      <c r="D39" s="195" t="s">
        <v>41</v>
      </c>
      <c r="E39" s="221"/>
      <c r="F39" s="397" t="s">
        <v>21</v>
      </c>
      <c r="G39" s="397"/>
      <c r="H39" s="397"/>
      <c r="I39" s="397"/>
      <c r="J39" s="397"/>
      <c r="K39" s="397"/>
      <c r="L39" s="397"/>
      <c r="M39" s="221"/>
      <c r="N39" s="423" t="s">
        <v>20</v>
      </c>
      <c r="O39" s="423"/>
      <c r="P39" s="423"/>
      <c r="Q39" s="423"/>
      <c r="R39" s="423"/>
      <c r="S39" s="423"/>
      <c r="T39" s="423"/>
      <c r="U39" s="221"/>
      <c r="V39" s="221"/>
      <c r="W39" s="221"/>
      <c r="X39" s="221"/>
      <c r="Y39" s="221"/>
      <c r="Z39" s="221"/>
      <c r="AA39" s="221"/>
      <c r="AB39" s="221"/>
    </row>
    <row r="40" spans="1:39" ht="24.75" customHeight="1" x14ac:dyDescent="0.25">
      <c r="A40" s="282"/>
      <c r="B40" s="200"/>
      <c r="C40" s="200"/>
      <c r="D40" s="283"/>
      <c r="E40" s="284"/>
      <c r="F40" s="398">
        <f>$F$7</f>
        <v>2015</v>
      </c>
      <c r="G40" s="393">
        <f>+F40+1</f>
        <v>2016</v>
      </c>
      <c r="H40" s="393">
        <f>+G40+1</f>
        <v>2017</v>
      </c>
      <c r="I40" s="395">
        <f>+H40+1</f>
        <v>2018</v>
      </c>
      <c r="J40" s="197"/>
      <c r="K40" s="198" t="s">
        <v>11</v>
      </c>
      <c r="L40" s="199"/>
      <c r="N40" s="424">
        <f>$F$7</f>
        <v>2015</v>
      </c>
      <c r="O40" s="426">
        <f>+N40+1</f>
        <v>2016</v>
      </c>
      <c r="P40" s="426">
        <f>+O40+1</f>
        <v>2017</v>
      </c>
      <c r="Q40" s="428">
        <f>+P40+1</f>
        <v>2018</v>
      </c>
      <c r="R40" s="197"/>
      <c r="S40" s="198" t="s">
        <v>11</v>
      </c>
      <c r="T40" s="199"/>
    </row>
    <row r="41" spans="1:39" ht="24.75" customHeight="1" x14ac:dyDescent="0.25">
      <c r="A41" s="282"/>
      <c r="B41" s="200"/>
      <c r="C41" s="202"/>
      <c r="D41" s="283"/>
      <c r="E41" s="284"/>
      <c r="F41" s="399"/>
      <c r="G41" s="394"/>
      <c r="H41" s="394"/>
      <c r="I41" s="396"/>
      <c r="J41" s="206" t="str">
        <f>G40&amp;"/"&amp;RIGHT(F40,2)</f>
        <v>2016/15</v>
      </c>
      <c r="K41" s="207" t="str">
        <f>H40&amp;"/"&amp;RIGHT(G40,2)</f>
        <v>2017/16</v>
      </c>
      <c r="L41" s="208" t="str">
        <f>I40&amp;"/"&amp;RIGHT(H40,2)</f>
        <v>2018/17</v>
      </c>
      <c r="N41" s="425"/>
      <c r="O41" s="427"/>
      <c r="P41" s="427"/>
      <c r="Q41" s="429"/>
      <c r="R41" s="206" t="str">
        <f>O40&amp;"/"&amp;RIGHT(N40,2)</f>
        <v>2016/15</v>
      </c>
      <c r="S41" s="207" t="str">
        <f>P40&amp;"/"&amp;RIGHT(O40,2)</f>
        <v>2017/16</v>
      </c>
      <c r="T41" s="208" t="str">
        <f>Q40&amp;"/"&amp;RIGHT(P40,2)</f>
        <v>2018/17</v>
      </c>
    </row>
    <row r="42" spans="1:39" ht="24.75" customHeight="1" x14ac:dyDescent="0.25">
      <c r="A42" s="284"/>
      <c r="B42" s="284"/>
      <c r="C42" s="202" t="s">
        <v>35</v>
      </c>
      <c r="D42" s="284"/>
      <c r="E42" s="284"/>
      <c r="F42" s="285">
        <v>385.4</v>
      </c>
      <c r="G42" s="286">
        <v>377.8</v>
      </c>
      <c r="H42" s="286">
        <v>365.1</v>
      </c>
      <c r="I42" s="286">
        <v>372</v>
      </c>
      <c r="J42" s="62">
        <f t="shared" ref="J42:L44" si="14">IF(OR(G42=0,F42=0),"",G42/F42-1)</f>
        <v>-1.9719771665801633E-2</v>
      </c>
      <c r="K42" s="63">
        <f t="shared" si="14"/>
        <v>-3.3615669666490211E-2</v>
      </c>
      <c r="L42" s="64">
        <f t="shared" si="14"/>
        <v>1.8898931799506968E-2</v>
      </c>
      <c r="N42" s="287"/>
      <c r="O42" s="288"/>
      <c r="P42" s="288"/>
      <c r="Q42" s="289"/>
      <c r="R42" s="265" t="str">
        <f t="shared" ref="R42:T44" si="15">IF(OR(O42=0,N42=0),"",O42/N42-1)</f>
        <v/>
      </c>
      <c r="S42" s="266" t="str">
        <f t="shared" si="15"/>
        <v/>
      </c>
      <c r="T42" s="267" t="str">
        <f t="shared" si="15"/>
        <v/>
      </c>
      <c r="AG42" s="290"/>
      <c r="AJ42" s="190"/>
    </row>
    <row r="43" spans="1:39" ht="24.75" customHeight="1" x14ac:dyDescent="0.25">
      <c r="A43" s="284"/>
      <c r="B43" s="284"/>
      <c r="C43" s="291" t="s">
        <v>36</v>
      </c>
      <c r="D43" s="230"/>
      <c r="E43" s="284"/>
      <c r="F43" s="292">
        <v>384.7</v>
      </c>
      <c r="G43" s="293">
        <v>359.4</v>
      </c>
      <c r="H43" s="293">
        <v>364</v>
      </c>
      <c r="I43" s="293">
        <v>370</v>
      </c>
      <c r="J43" s="65">
        <f t="shared" si="14"/>
        <v>-6.5765531583051762E-2</v>
      </c>
      <c r="K43" s="66">
        <f t="shared" si="14"/>
        <v>1.2799109627156469E-2</v>
      </c>
      <c r="L43" s="67">
        <f t="shared" si="14"/>
        <v>1.6483516483516425E-2</v>
      </c>
      <c r="N43" s="294"/>
      <c r="O43" s="295"/>
      <c r="P43" s="295"/>
      <c r="Q43" s="296"/>
      <c r="R43" s="271" t="str">
        <f t="shared" si="15"/>
        <v/>
      </c>
      <c r="S43" s="272" t="str">
        <f t="shared" si="15"/>
        <v/>
      </c>
      <c r="T43" s="273" t="str">
        <f t="shared" si="15"/>
        <v/>
      </c>
      <c r="AJ43" s="297"/>
    </row>
    <row r="44" spans="1:39" ht="24.75" customHeight="1" x14ac:dyDescent="0.25">
      <c r="A44" s="200"/>
      <c r="B44" s="200"/>
      <c r="D44" s="298" t="s">
        <v>37</v>
      </c>
      <c r="E44" s="284"/>
      <c r="F44" s="299">
        <f>(F42+F43)/2</f>
        <v>385.04999999999995</v>
      </c>
      <c r="G44" s="300">
        <f>(G42+G43)/2</f>
        <v>368.6</v>
      </c>
      <c r="H44" s="300">
        <f>(H42+H43)/2</f>
        <v>364.55</v>
      </c>
      <c r="I44" s="301">
        <f>(I42+I43)/2</f>
        <v>371</v>
      </c>
      <c r="J44" s="68">
        <f t="shared" si="14"/>
        <v>-4.2721724451369791E-2</v>
      </c>
      <c r="K44" s="69">
        <f t="shared" si="14"/>
        <v>-1.0987520347259916E-2</v>
      </c>
      <c r="L44" s="70">
        <f t="shared" si="14"/>
        <v>1.7693046221368691E-2</v>
      </c>
      <c r="M44" s="191"/>
      <c r="N44" s="299">
        <f>(N42+N43)/2</f>
        <v>0</v>
      </c>
      <c r="O44" s="300">
        <f>(O42+O43)/2</f>
        <v>0</v>
      </c>
      <c r="P44" s="300">
        <f>(P42+P43)/2</f>
        <v>0</v>
      </c>
      <c r="Q44" s="301">
        <f>(Q42+Q43)/2</f>
        <v>0</v>
      </c>
      <c r="R44" s="68" t="str">
        <f t="shared" si="15"/>
        <v/>
      </c>
      <c r="S44" s="69" t="str">
        <f t="shared" si="15"/>
        <v/>
      </c>
      <c r="T44" s="70" t="str">
        <f t="shared" si="15"/>
        <v/>
      </c>
      <c r="AJ44" s="297"/>
    </row>
    <row r="45" spans="1:39" ht="24.75" customHeight="1" x14ac:dyDescent="0.25">
      <c r="A45" s="200"/>
      <c r="B45" s="200"/>
      <c r="C45" s="202"/>
      <c r="D45" s="284"/>
      <c r="E45" s="284"/>
      <c r="F45" s="397" t="s">
        <v>19</v>
      </c>
      <c r="G45" s="397"/>
      <c r="H45" s="397"/>
      <c r="I45" s="397"/>
      <c r="J45" s="397"/>
      <c r="K45" s="397"/>
      <c r="L45" s="397"/>
      <c r="M45" s="191"/>
      <c r="N45" s="397" t="s">
        <v>22</v>
      </c>
      <c r="O45" s="397"/>
      <c r="P45" s="397"/>
      <c r="Q45" s="397"/>
      <c r="R45" s="397"/>
      <c r="S45" s="397"/>
      <c r="T45" s="397"/>
      <c r="AJ45" s="297"/>
    </row>
    <row r="46" spans="1:39" ht="24.75" customHeight="1" x14ac:dyDescent="0.25">
      <c r="A46" s="200"/>
      <c r="B46" s="200"/>
      <c r="C46" s="202"/>
      <c r="D46" s="284"/>
      <c r="E46" s="284"/>
      <c r="F46" s="398">
        <f>$F$7</f>
        <v>2015</v>
      </c>
      <c r="G46" s="393">
        <f>+F46+1</f>
        <v>2016</v>
      </c>
      <c r="H46" s="393">
        <f>+G46+1</f>
        <v>2017</v>
      </c>
      <c r="I46" s="395">
        <f>+H46+1</f>
        <v>2018</v>
      </c>
      <c r="J46" s="197"/>
      <c r="K46" s="198" t="s">
        <v>11</v>
      </c>
      <c r="L46" s="199"/>
      <c r="M46" s="191"/>
      <c r="N46" s="398">
        <f>$F$7</f>
        <v>2015</v>
      </c>
      <c r="O46" s="393">
        <f>+N46+1</f>
        <v>2016</v>
      </c>
      <c r="P46" s="393">
        <f>+O46+1</f>
        <v>2017</v>
      </c>
      <c r="Q46" s="395">
        <f>+P46+1</f>
        <v>2018</v>
      </c>
      <c r="R46" s="197"/>
      <c r="S46" s="198" t="s">
        <v>11</v>
      </c>
      <c r="T46" s="199"/>
      <c r="AJ46" s="297"/>
    </row>
    <row r="47" spans="1:39" ht="24.75" customHeight="1" x14ac:dyDescent="0.25">
      <c r="A47" s="200"/>
      <c r="B47" s="200"/>
      <c r="C47" s="284"/>
      <c r="D47" s="200"/>
      <c r="E47" s="284"/>
      <c r="F47" s="399"/>
      <c r="G47" s="394"/>
      <c r="H47" s="394"/>
      <c r="I47" s="396"/>
      <c r="J47" s="206" t="str">
        <f>G46&amp;"/"&amp;RIGHT(F46,2)</f>
        <v>2016/15</v>
      </c>
      <c r="K47" s="207" t="str">
        <f>H46&amp;"/"&amp;RIGHT(G46,2)</f>
        <v>2017/16</v>
      </c>
      <c r="L47" s="208" t="str">
        <f>I46&amp;"/"&amp;RIGHT(H46,2)</f>
        <v>2018/17</v>
      </c>
      <c r="N47" s="399"/>
      <c r="O47" s="394"/>
      <c r="P47" s="394"/>
      <c r="Q47" s="396"/>
      <c r="R47" s="206" t="str">
        <f>O46&amp;"/"&amp;RIGHT(N46,2)</f>
        <v>2016/15</v>
      </c>
      <c r="S47" s="207" t="str">
        <f>P46&amp;"/"&amp;RIGHT(O46,2)</f>
        <v>2017/16</v>
      </c>
      <c r="T47" s="208" t="str">
        <f>Q46&amp;"/"&amp;RIGHT(P46,2)</f>
        <v>2018/17</v>
      </c>
      <c r="AJ47" s="297"/>
    </row>
    <row r="48" spans="1:39" ht="24.75" customHeight="1" x14ac:dyDescent="0.25">
      <c r="A48" s="284"/>
      <c r="B48" s="302"/>
      <c r="C48" s="202" t="s">
        <v>35</v>
      </c>
      <c r="D48" s="284"/>
      <c r="E48" s="284"/>
      <c r="F48" s="285">
        <v>297.2</v>
      </c>
      <c r="G48" s="286">
        <v>296</v>
      </c>
      <c r="H48" s="286">
        <v>298.39999999999998</v>
      </c>
      <c r="I48" s="286">
        <v>299</v>
      </c>
      <c r="J48" s="62">
        <f t="shared" ref="J48:L50" si="16">IF(OR(G48=0,F48=0),"",G48/F48-1)</f>
        <v>-4.0376850605652326E-3</v>
      </c>
      <c r="K48" s="63">
        <f t="shared" si="16"/>
        <v>8.1081081081080253E-3</v>
      </c>
      <c r="L48" s="64">
        <f t="shared" si="16"/>
        <v>2.0107238605899802E-3</v>
      </c>
      <c r="N48" s="285">
        <v>360.78858081858505</v>
      </c>
      <c r="O48" s="286">
        <v>347.68898352614053</v>
      </c>
      <c r="P48" s="286">
        <v>340.98</v>
      </c>
      <c r="Q48" s="286">
        <v>345</v>
      </c>
      <c r="R48" s="62">
        <f t="shared" ref="R48:T50" si="17">IF(OR(O48=0,N48=0),"",O48/N48-1)</f>
        <v>-3.6308236981123732E-2</v>
      </c>
      <c r="S48" s="63">
        <f t="shared" si="17"/>
        <v>-1.9295933561369494E-2</v>
      </c>
      <c r="T48" s="64">
        <f t="shared" si="17"/>
        <v>1.1789547774063047E-2</v>
      </c>
      <c r="AF48" s="303"/>
      <c r="AJ48" s="190"/>
    </row>
    <row r="49" spans="1:36" ht="24.75" customHeight="1" x14ac:dyDescent="0.25">
      <c r="A49" s="200"/>
      <c r="B49" s="200"/>
      <c r="C49" s="291" t="s">
        <v>36</v>
      </c>
      <c r="D49" s="230"/>
      <c r="E49" s="284"/>
      <c r="F49" s="292">
        <v>305.3</v>
      </c>
      <c r="G49" s="293">
        <v>288</v>
      </c>
      <c r="H49" s="293">
        <v>310</v>
      </c>
      <c r="I49" s="293">
        <v>297</v>
      </c>
      <c r="J49" s="65">
        <f t="shared" si="16"/>
        <v>-5.6665574844415367E-2</v>
      </c>
      <c r="K49" s="66">
        <f t="shared" si="16"/>
        <v>7.638888888888884E-2</v>
      </c>
      <c r="L49" s="67">
        <f t="shared" si="16"/>
        <v>-4.1935483870967794E-2</v>
      </c>
      <c r="N49" s="292">
        <v>360.27243984862184</v>
      </c>
      <c r="O49" s="293">
        <v>333.76733252625195</v>
      </c>
      <c r="P49" s="293">
        <v>345</v>
      </c>
      <c r="Q49" s="293">
        <v>350</v>
      </c>
      <c r="R49" s="65">
        <f t="shared" si="17"/>
        <v>-7.3569622293358727E-2</v>
      </c>
      <c r="S49" s="66">
        <f t="shared" si="17"/>
        <v>3.3654184754179139E-2</v>
      </c>
      <c r="T49" s="67">
        <f t="shared" si="17"/>
        <v>1.449275362318847E-2</v>
      </c>
      <c r="AH49" s="190"/>
      <c r="AJ49" s="190"/>
    </row>
    <row r="50" spans="1:36" ht="24.75" customHeight="1" x14ac:dyDescent="0.25">
      <c r="A50" s="200"/>
      <c r="B50" s="200"/>
      <c r="D50" s="298" t="s">
        <v>37</v>
      </c>
      <c r="E50" s="284"/>
      <c r="F50" s="299">
        <f>(F48+F49)/2</f>
        <v>301.25</v>
      </c>
      <c r="G50" s="300">
        <f>(G48+G49)/2</f>
        <v>292</v>
      </c>
      <c r="H50" s="300">
        <f>(H48+H49)/2</f>
        <v>304.2</v>
      </c>
      <c r="I50" s="301">
        <f>(I48+I49)/2</f>
        <v>298</v>
      </c>
      <c r="J50" s="68">
        <f t="shared" si="16"/>
        <v>-3.0705394190871371E-2</v>
      </c>
      <c r="K50" s="69">
        <f t="shared" si="16"/>
        <v>4.1780821917808186E-2</v>
      </c>
      <c r="L50" s="70">
        <f t="shared" si="16"/>
        <v>-2.0381328073635685E-2</v>
      </c>
      <c r="M50" s="191"/>
      <c r="N50" s="299">
        <f>(N48+N49)/2</f>
        <v>360.53051033360344</v>
      </c>
      <c r="O50" s="300">
        <f>(O48+O49)/2</f>
        <v>340.72815802619624</v>
      </c>
      <c r="P50" s="300">
        <f>(P48+P49)/2</f>
        <v>342.99</v>
      </c>
      <c r="Q50" s="301">
        <f>(Q48+Q49)/2</f>
        <v>347.5</v>
      </c>
      <c r="R50" s="68">
        <f t="shared" si="17"/>
        <v>-5.4925593645552606E-2</v>
      </c>
      <c r="S50" s="69">
        <f t="shared" si="17"/>
        <v>6.6382596228806712E-3</v>
      </c>
      <c r="T50" s="70">
        <f t="shared" si="17"/>
        <v>1.3149071401498569E-2</v>
      </c>
      <c r="AH50" s="190"/>
      <c r="AJ50" s="304"/>
    </row>
    <row r="51" spans="1:36" ht="24.75" customHeight="1" x14ac:dyDescent="0.25">
      <c r="A51" s="284"/>
      <c r="B51" s="284"/>
      <c r="C51" s="284"/>
      <c r="D51" s="284"/>
      <c r="E51" s="284"/>
      <c r="AC51" s="186"/>
      <c r="AH51" s="186"/>
      <c r="AI51" s="186"/>
      <c r="AJ51" s="186"/>
    </row>
    <row r="52" spans="1:36" ht="24.75" customHeight="1" x14ac:dyDescent="0.25">
      <c r="A52" s="305"/>
      <c r="B52" s="284"/>
      <c r="C52" s="284"/>
      <c r="D52" s="284"/>
      <c r="E52" s="284"/>
      <c r="V52" s="306"/>
      <c r="W52" s="306"/>
      <c r="X52" s="306"/>
      <c r="Y52" s="306"/>
      <c r="Z52" s="17"/>
      <c r="AA52" s="17"/>
      <c r="AB52" s="17"/>
    </row>
    <row r="53" spans="1:36" ht="24.75" customHeight="1" x14ac:dyDescent="0.25">
      <c r="A53" s="303"/>
      <c r="V53" s="306"/>
      <c r="W53" s="306"/>
      <c r="X53" s="306"/>
      <c r="Y53" s="306"/>
      <c r="Z53" s="17"/>
      <c r="AA53" s="17"/>
      <c r="AB53" s="17"/>
    </row>
    <row r="54" spans="1:36" ht="24.75" customHeight="1" x14ac:dyDescent="0.25">
      <c r="A54" s="303"/>
      <c r="U54" s="191"/>
      <c r="V54" s="306"/>
      <c r="W54" s="306"/>
      <c r="X54" s="306"/>
      <c r="Y54" s="306"/>
      <c r="Z54" s="17"/>
      <c r="AA54" s="17"/>
      <c r="AB54" s="17"/>
    </row>
    <row r="55" spans="1:36" ht="24.75" customHeight="1" x14ac:dyDescent="0.25">
      <c r="A55" s="303"/>
      <c r="U55" s="306"/>
      <c r="V55" s="306"/>
      <c r="W55" s="306"/>
      <c r="X55" s="306"/>
      <c r="Y55" s="306"/>
      <c r="Z55" s="17"/>
      <c r="AA55" s="17"/>
      <c r="AB55" s="17"/>
    </row>
    <row r="56" spans="1:36" ht="24.75" customHeight="1" x14ac:dyDescent="0.25">
      <c r="A56" s="307"/>
      <c r="U56" s="191"/>
      <c r="V56" s="306"/>
      <c r="W56" s="306"/>
      <c r="X56" s="306"/>
      <c r="Y56" s="306"/>
      <c r="Z56" s="17"/>
      <c r="AA56" s="17"/>
      <c r="AB56" s="17"/>
    </row>
    <row r="57" spans="1:36" ht="17.25" customHeight="1" x14ac:dyDescent="0.25">
      <c r="A57" s="190"/>
      <c r="B57" s="190"/>
      <c r="C57" s="190"/>
      <c r="D57" s="190"/>
      <c r="E57" s="190"/>
      <c r="V57" s="306"/>
      <c r="W57" s="306"/>
      <c r="X57" s="306"/>
      <c r="Y57" s="306"/>
      <c r="Z57" s="17"/>
      <c r="AA57" s="17"/>
      <c r="AB57" s="17"/>
    </row>
    <row r="58" spans="1:36" ht="17.25" customHeight="1" x14ac:dyDescent="0.25">
      <c r="A58" s="186"/>
      <c r="B58" s="190"/>
      <c r="C58" s="190"/>
      <c r="D58" s="186"/>
      <c r="E58" s="186"/>
    </row>
  </sheetData>
  <mergeCells count="76">
    <mergeCell ref="D1:U1"/>
    <mergeCell ref="A3:B3"/>
    <mergeCell ref="C3:D3"/>
    <mergeCell ref="A5:B5"/>
    <mergeCell ref="C5:D5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Q13:Q14"/>
    <mergeCell ref="V13:V14"/>
    <mergeCell ref="W13:W14"/>
    <mergeCell ref="X13:X14"/>
    <mergeCell ref="Y13:Y14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</mergeCells>
  <conditionalFormatting sqref="F50:M50 U56 U54 F44:T44 F26:I26 V33:AB33 V36:Y36 F35:AB35 V34:Y34 V24:Y25 V29:X30 V27:Y28 V18:Y21 V15:Y16 U26:Y26 M26:Q26 F17:AB17 Z29:AB29">
    <cfRule type="cellIs" dxfId="96" priority="5" stopIfTrue="1" operator="equal">
      <formula>0</formula>
    </cfRule>
  </conditionalFormatting>
  <conditionalFormatting sqref="N50:T50">
    <cfRule type="cellIs" dxfId="95" priority="4" stopIfTrue="1" operator="equal">
      <formula>0</formula>
    </cfRule>
  </conditionalFormatting>
  <conditionalFormatting sqref="F12:H12">
    <cfRule type="cellIs" dxfId="94" priority="3" stopIfTrue="1" operator="equal">
      <formula>0</formula>
    </cfRule>
  </conditionalFormatting>
  <conditionalFormatting sqref="I12">
    <cfRule type="cellIs" dxfId="93" priority="2" stopIfTrue="1" operator="equal">
      <formula>0</formula>
    </cfRule>
  </conditionalFormatting>
  <conditionalFormatting sqref="Y29:Y30">
    <cfRule type="cellIs" dxfId="92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AM58"/>
  <sheetViews>
    <sheetView showGridLines="0" zoomScale="60" zoomScaleNormal="60" workbookViewId="0">
      <selection activeCell="M5" sqref="M5"/>
    </sheetView>
  </sheetViews>
  <sheetFormatPr defaultRowHeight="15.75" x14ac:dyDescent="0.25"/>
  <cols>
    <col min="1" max="1" width="2.75" style="183" customWidth="1"/>
    <col min="2" max="2" width="18.875" style="183" customWidth="1"/>
    <col min="3" max="3" width="26.625" style="183" customWidth="1"/>
    <col min="4" max="4" width="14.375" style="183" customWidth="1"/>
    <col min="5" max="5" width="3.25" style="183" customWidth="1"/>
    <col min="6" max="9" width="12.375" style="183" customWidth="1"/>
    <col min="10" max="12" width="7" style="183" customWidth="1"/>
    <col min="13" max="13" width="3.25" style="183" customWidth="1"/>
    <col min="14" max="17" width="12.375" style="183" customWidth="1"/>
    <col min="18" max="20" width="7" style="183" customWidth="1"/>
    <col min="21" max="21" width="3" style="183" customWidth="1"/>
    <col min="22" max="25" width="12.375" style="183" customWidth="1"/>
    <col min="26" max="28" width="7" style="183" customWidth="1"/>
    <col min="29" max="256" width="11" style="183" customWidth="1"/>
    <col min="257" max="257" width="2.75" style="183" customWidth="1"/>
    <col min="258" max="258" width="18.875" style="183" customWidth="1"/>
    <col min="259" max="259" width="26.625" style="183" customWidth="1"/>
    <col min="260" max="260" width="14.375" style="183" customWidth="1"/>
    <col min="261" max="261" width="3.25" style="183" customWidth="1"/>
    <col min="262" max="265" width="12.375" style="183" customWidth="1"/>
    <col min="266" max="268" width="7" style="183" customWidth="1"/>
    <col min="269" max="269" width="3.25" style="183" customWidth="1"/>
    <col min="270" max="273" width="12.375" style="183" customWidth="1"/>
    <col min="274" max="276" width="7" style="183" customWidth="1"/>
    <col min="277" max="277" width="3" style="183" customWidth="1"/>
    <col min="278" max="281" width="12.375" style="183" customWidth="1"/>
    <col min="282" max="284" width="7" style="183" customWidth="1"/>
    <col min="285" max="512" width="11" style="183" customWidth="1"/>
    <col min="513" max="513" width="2.75" style="183" customWidth="1"/>
    <col min="514" max="514" width="18.875" style="183" customWidth="1"/>
    <col min="515" max="515" width="26.625" style="183" customWidth="1"/>
    <col min="516" max="516" width="14.375" style="183" customWidth="1"/>
    <col min="517" max="517" width="3.25" style="183" customWidth="1"/>
    <col min="518" max="521" width="12.375" style="183" customWidth="1"/>
    <col min="522" max="524" width="7" style="183" customWidth="1"/>
    <col min="525" max="525" width="3.25" style="183" customWidth="1"/>
    <col min="526" max="529" width="12.375" style="183" customWidth="1"/>
    <col min="530" max="532" width="7" style="183" customWidth="1"/>
    <col min="533" max="533" width="3" style="183" customWidth="1"/>
    <col min="534" max="537" width="12.375" style="183" customWidth="1"/>
    <col min="538" max="540" width="7" style="183" customWidth="1"/>
    <col min="541" max="768" width="11" style="183" customWidth="1"/>
    <col min="769" max="769" width="2.75" style="183" customWidth="1"/>
    <col min="770" max="770" width="18.875" style="183" customWidth="1"/>
    <col min="771" max="771" width="26.625" style="183" customWidth="1"/>
    <col min="772" max="772" width="14.375" style="183" customWidth="1"/>
    <col min="773" max="773" width="3.25" style="183" customWidth="1"/>
    <col min="774" max="777" width="12.375" style="183" customWidth="1"/>
    <col min="778" max="780" width="7" style="183" customWidth="1"/>
    <col min="781" max="781" width="3.25" style="183" customWidth="1"/>
    <col min="782" max="785" width="12.375" style="183" customWidth="1"/>
    <col min="786" max="788" width="7" style="183" customWidth="1"/>
    <col min="789" max="789" width="3" style="183" customWidth="1"/>
    <col min="790" max="793" width="12.375" style="183" customWidth="1"/>
    <col min="794" max="796" width="7" style="183" customWidth="1"/>
    <col min="797" max="1024" width="11" style="183" customWidth="1"/>
    <col min="1025" max="1025" width="2.75" style="183" customWidth="1"/>
    <col min="1026" max="1026" width="18.875" style="183" customWidth="1"/>
    <col min="1027" max="1027" width="26.625" style="183" customWidth="1"/>
    <col min="1028" max="1028" width="14.375" style="183" customWidth="1"/>
    <col min="1029" max="1029" width="3.25" style="183" customWidth="1"/>
    <col min="1030" max="1033" width="12.375" style="183" customWidth="1"/>
    <col min="1034" max="1036" width="7" style="183" customWidth="1"/>
    <col min="1037" max="1037" width="3.25" style="183" customWidth="1"/>
    <col min="1038" max="1041" width="12.375" style="183" customWidth="1"/>
    <col min="1042" max="1044" width="7" style="183" customWidth="1"/>
    <col min="1045" max="1045" width="3" style="183" customWidth="1"/>
    <col min="1046" max="1049" width="12.375" style="183" customWidth="1"/>
    <col min="1050" max="1052" width="7" style="183" customWidth="1"/>
    <col min="1053" max="1280" width="11" style="183" customWidth="1"/>
    <col min="1281" max="1281" width="2.75" style="183" customWidth="1"/>
    <col min="1282" max="1282" width="18.875" style="183" customWidth="1"/>
    <col min="1283" max="1283" width="26.625" style="183" customWidth="1"/>
    <col min="1284" max="1284" width="14.375" style="183" customWidth="1"/>
    <col min="1285" max="1285" width="3.25" style="183" customWidth="1"/>
    <col min="1286" max="1289" width="12.375" style="183" customWidth="1"/>
    <col min="1290" max="1292" width="7" style="183" customWidth="1"/>
    <col min="1293" max="1293" width="3.25" style="183" customWidth="1"/>
    <col min="1294" max="1297" width="12.375" style="183" customWidth="1"/>
    <col min="1298" max="1300" width="7" style="183" customWidth="1"/>
    <col min="1301" max="1301" width="3" style="183" customWidth="1"/>
    <col min="1302" max="1305" width="12.375" style="183" customWidth="1"/>
    <col min="1306" max="1308" width="7" style="183" customWidth="1"/>
    <col min="1309" max="1536" width="11" style="183" customWidth="1"/>
    <col min="1537" max="1537" width="2.75" style="183" customWidth="1"/>
    <col min="1538" max="1538" width="18.875" style="183" customWidth="1"/>
    <col min="1539" max="1539" width="26.625" style="183" customWidth="1"/>
    <col min="1540" max="1540" width="14.375" style="183" customWidth="1"/>
    <col min="1541" max="1541" width="3.25" style="183" customWidth="1"/>
    <col min="1542" max="1545" width="12.375" style="183" customWidth="1"/>
    <col min="1546" max="1548" width="7" style="183" customWidth="1"/>
    <col min="1549" max="1549" width="3.25" style="183" customWidth="1"/>
    <col min="1550" max="1553" width="12.375" style="183" customWidth="1"/>
    <col min="1554" max="1556" width="7" style="183" customWidth="1"/>
    <col min="1557" max="1557" width="3" style="183" customWidth="1"/>
    <col min="1558" max="1561" width="12.375" style="183" customWidth="1"/>
    <col min="1562" max="1564" width="7" style="183" customWidth="1"/>
    <col min="1565" max="1792" width="11" style="183" customWidth="1"/>
    <col min="1793" max="1793" width="2.75" style="183" customWidth="1"/>
    <col min="1794" max="1794" width="18.875" style="183" customWidth="1"/>
    <col min="1795" max="1795" width="26.625" style="183" customWidth="1"/>
    <col min="1796" max="1796" width="14.375" style="183" customWidth="1"/>
    <col min="1797" max="1797" width="3.25" style="183" customWidth="1"/>
    <col min="1798" max="1801" width="12.375" style="183" customWidth="1"/>
    <col min="1802" max="1804" width="7" style="183" customWidth="1"/>
    <col min="1805" max="1805" width="3.25" style="183" customWidth="1"/>
    <col min="1806" max="1809" width="12.375" style="183" customWidth="1"/>
    <col min="1810" max="1812" width="7" style="183" customWidth="1"/>
    <col min="1813" max="1813" width="3" style="183" customWidth="1"/>
    <col min="1814" max="1817" width="12.375" style="183" customWidth="1"/>
    <col min="1818" max="1820" width="7" style="183" customWidth="1"/>
    <col min="1821" max="2048" width="11" style="183" customWidth="1"/>
    <col min="2049" max="2049" width="2.75" style="183" customWidth="1"/>
    <col min="2050" max="2050" width="18.875" style="183" customWidth="1"/>
    <col min="2051" max="2051" width="26.625" style="183" customWidth="1"/>
    <col min="2052" max="2052" width="14.375" style="183" customWidth="1"/>
    <col min="2053" max="2053" width="3.25" style="183" customWidth="1"/>
    <col min="2054" max="2057" width="12.375" style="183" customWidth="1"/>
    <col min="2058" max="2060" width="7" style="183" customWidth="1"/>
    <col min="2061" max="2061" width="3.25" style="183" customWidth="1"/>
    <col min="2062" max="2065" width="12.375" style="183" customWidth="1"/>
    <col min="2066" max="2068" width="7" style="183" customWidth="1"/>
    <col min="2069" max="2069" width="3" style="183" customWidth="1"/>
    <col min="2070" max="2073" width="12.375" style="183" customWidth="1"/>
    <col min="2074" max="2076" width="7" style="183" customWidth="1"/>
    <col min="2077" max="2304" width="11" style="183" customWidth="1"/>
    <col min="2305" max="2305" width="2.75" style="183" customWidth="1"/>
    <col min="2306" max="2306" width="18.875" style="183" customWidth="1"/>
    <col min="2307" max="2307" width="26.625" style="183" customWidth="1"/>
    <col min="2308" max="2308" width="14.375" style="183" customWidth="1"/>
    <col min="2309" max="2309" width="3.25" style="183" customWidth="1"/>
    <col min="2310" max="2313" width="12.375" style="183" customWidth="1"/>
    <col min="2314" max="2316" width="7" style="183" customWidth="1"/>
    <col min="2317" max="2317" width="3.25" style="183" customWidth="1"/>
    <col min="2318" max="2321" width="12.375" style="183" customWidth="1"/>
    <col min="2322" max="2324" width="7" style="183" customWidth="1"/>
    <col min="2325" max="2325" width="3" style="183" customWidth="1"/>
    <col min="2326" max="2329" width="12.375" style="183" customWidth="1"/>
    <col min="2330" max="2332" width="7" style="183" customWidth="1"/>
    <col min="2333" max="2560" width="11" style="183" customWidth="1"/>
    <col min="2561" max="2561" width="2.75" style="183" customWidth="1"/>
    <col min="2562" max="2562" width="18.875" style="183" customWidth="1"/>
    <col min="2563" max="2563" width="26.625" style="183" customWidth="1"/>
    <col min="2564" max="2564" width="14.375" style="183" customWidth="1"/>
    <col min="2565" max="2565" width="3.25" style="183" customWidth="1"/>
    <col min="2566" max="2569" width="12.375" style="183" customWidth="1"/>
    <col min="2570" max="2572" width="7" style="183" customWidth="1"/>
    <col min="2573" max="2573" width="3.25" style="183" customWidth="1"/>
    <col min="2574" max="2577" width="12.375" style="183" customWidth="1"/>
    <col min="2578" max="2580" width="7" style="183" customWidth="1"/>
    <col min="2581" max="2581" width="3" style="183" customWidth="1"/>
    <col min="2582" max="2585" width="12.375" style="183" customWidth="1"/>
    <col min="2586" max="2588" width="7" style="183" customWidth="1"/>
    <col min="2589" max="2816" width="11" style="183" customWidth="1"/>
    <col min="2817" max="2817" width="2.75" style="183" customWidth="1"/>
    <col min="2818" max="2818" width="18.875" style="183" customWidth="1"/>
    <col min="2819" max="2819" width="26.625" style="183" customWidth="1"/>
    <col min="2820" max="2820" width="14.375" style="183" customWidth="1"/>
    <col min="2821" max="2821" width="3.25" style="183" customWidth="1"/>
    <col min="2822" max="2825" width="12.375" style="183" customWidth="1"/>
    <col min="2826" max="2828" width="7" style="183" customWidth="1"/>
    <col min="2829" max="2829" width="3.25" style="183" customWidth="1"/>
    <col min="2830" max="2833" width="12.375" style="183" customWidth="1"/>
    <col min="2834" max="2836" width="7" style="183" customWidth="1"/>
    <col min="2837" max="2837" width="3" style="183" customWidth="1"/>
    <col min="2838" max="2841" width="12.375" style="183" customWidth="1"/>
    <col min="2842" max="2844" width="7" style="183" customWidth="1"/>
    <col min="2845" max="3072" width="11" style="183" customWidth="1"/>
    <col min="3073" max="3073" width="2.75" style="183" customWidth="1"/>
    <col min="3074" max="3074" width="18.875" style="183" customWidth="1"/>
    <col min="3075" max="3075" width="26.625" style="183" customWidth="1"/>
    <col min="3076" max="3076" width="14.375" style="183" customWidth="1"/>
    <col min="3077" max="3077" width="3.25" style="183" customWidth="1"/>
    <col min="3078" max="3081" width="12.375" style="183" customWidth="1"/>
    <col min="3082" max="3084" width="7" style="183" customWidth="1"/>
    <col min="3085" max="3085" width="3.25" style="183" customWidth="1"/>
    <col min="3086" max="3089" width="12.375" style="183" customWidth="1"/>
    <col min="3090" max="3092" width="7" style="183" customWidth="1"/>
    <col min="3093" max="3093" width="3" style="183" customWidth="1"/>
    <col min="3094" max="3097" width="12.375" style="183" customWidth="1"/>
    <col min="3098" max="3100" width="7" style="183" customWidth="1"/>
    <col min="3101" max="3328" width="11" style="183" customWidth="1"/>
    <col min="3329" max="3329" width="2.75" style="183" customWidth="1"/>
    <col min="3330" max="3330" width="18.875" style="183" customWidth="1"/>
    <col min="3331" max="3331" width="26.625" style="183" customWidth="1"/>
    <col min="3332" max="3332" width="14.375" style="183" customWidth="1"/>
    <col min="3333" max="3333" width="3.25" style="183" customWidth="1"/>
    <col min="3334" max="3337" width="12.375" style="183" customWidth="1"/>
    <col min="3338" max="3340" width="7" style="183" customWidth="1"/>
    <col min="3341" max="3341" width="3.25" style="183" customWidth="1"/>
    <col min="3342" max="3345" width="12.375" style="183" customWidth="1"/>
    <col min="3346" max="3348" width="7" style="183" customWidth="1"/>
    <col min="3349" max="3349" width="3" style="183" customWidth="1"/>
    <col min="3350" max="3353" width="12.375" style="183" customWidth="1"/>
    <col min="3354" max="3356" width="7" style="183" customWidth="1"/>
    <col min="3357" max="3584" width="11" style="183" customWidth="1"/>
    <col min="3585" max="3585" width="2.75" style="183" customWidth="1"/>
    <col min="3586" max="3586" width="18.875" style="183" customWidth="1"/>
    <col min="3587" max="3587" width="26.625" style="183" customWidth="1"/>
    <col min="3588" max="3588" width="14.375" style="183" customWidth="1"/>
    <col min="3589" max="3589" width="3.25" style="183" customWidth="1"/>
    <col min="3590" max="3593" width="12.375" style="183" customWidth="1"/>
    <col min="3594" max="3596" width="7" style="183" customWidth="1"/>
    <col min="3597" max="3597" width="3.25" style="183" customWidth="1"/>
    <col min="3598" max="3601" width="12.375" style="183" customWidth="1"/>
    <col min="3602" max="3604" width="7" style="183" customWidth="1"/>
    <col min="3605" max="3605" width="3" style="183" customWidth="1"/>
    <col min="3606" max="3609" width="12.375" style="183" customWidth="1"/>
    <col min="3610" max="3612" width="7" style="183" customWidth="1"/>
    <col min="3613" max="3840" width="11" style="183" customWidth="1"/>
    <col min="3841" max="3841" width="2.75" style="183" customWidth="1"/>
    <col min="3842" max="3842" width="18.875" style="183" customWidth="1"/>
    <col min="3843" max="3843" width="26.625" style="183" customWidth="1"/>
    <col min="3844" max="3844" width="14.375" style="183" customWidth="1"/>
    <col min="3845" max="3845" width="3.25" style="183" customWidth="1"/>
    <col min="3846" max="3849" width="12.375" style="183" customWidth="1"/>
    <col min="3850" max="3852" width="7" style="183" customWidth="1"/>
    <col min="3853" max="3853" width="3.25" style="183" customWidth="1"/>
    <col min="3854" max="3857" width="12.375" style="183" customWidth="1"/>
    <col min="3858" max="3860" width="7" style="183" customWidth="1"/>
    <col min="3861" max="3861" width="3" style="183" customWidth="1"/>
    <col min="3862" max="3865" width="12.375" style="183" customWidth="1"/>
    <col min="3866" max="3868" width="7" style="183" customWidth="1"/>
    <col min="3869" max="4096" width="11" style="183" customWidth="1"/>
    <col min="4097" max="4097" width="2.75" style="183" customWidth="1"/>
    <col min="4098" max="4098" width="18.875" style="183" customWidth="1"/>
    <col min="4099" max="4099" width="26.625" style="183" customWidth="1"/>
    <col min="4100" max="4100" width="14.375" style="183" customWidth="1"/>
    <col min="4101" max="4101" width="3.25" style="183" customWidth="1"/>
    <col min="4102" max="4105" width="12.375" style="183" customWidth="1"/>
    <col min="4106" max="4108" width="7" style="183" customWidth="1"/>
    <col min="4109" max="4109" width="3.25" style="183" customWidth="1"/>
    <col min="4110" max="4113" width="12.375" style="183" customWidth="1"/>
    <col min="4114" max="4116" width="7" style="183" customWidth="1"/>
    <col min="4117" max="4117" width="3" style="183" customWidth="1"/>
    <col min="4118" max="4121" width="12.375" style="183" customWidth="1"/>
    <col min="4122" max="4124" width="7" style="183" customWidth="1"/>
    <col min="4125" max="4352" width="11" style="183" customWidth="1"/>
    <col min="4353" max="4353" width="2.75" style="183" customWidth="1"/>
    <col min="4354" max="4354" width="18.875" style="183" customWidth="1"/>
    <col min="4355" max="4355" width="26.625" style="183" customWidth="1"/>
    <col min="4356" max="4356" width="14.375" style="183" customWidth="1"/>
    <col min="4357" max="4357" width="3.25" style="183" customWidth="1"/>
    <col min="4358" max="4361" width="12.375" style="183" customWidth="1"/>
    <col min="4362" max="4364" width="7" style="183" customWidth="1"/>
    <col min="4365" max="4365" width="3.25" style="183" customWidth="1"/>
    <col min="4366" max="4369" width="12.375" style="183" customWidth="1"/>
    <col min="4370" max="4372" width="7" style="183" customWidth="1"/>
    <col min="4373" max="4373" width="3" style="183" customWidth="1"/>
    <col min="4374" max="4377" width="12.375" style="183" customWidth="1"/>
    <col min="4378" max="4380" width="7" style="183" customWidth="1"/>
    <col min="4381" max="4608" width="11" style="183" customWidth="1"/>
    <col min="4609" max="4609" width="2.75" style="183" customWidth="1"/>
    <col min="4610" max="4610" width="18.875" style="183" customWidth="1"/>
    <col min="4611" max="4611" width="26.625" style="183" customWidth="1"/>
    <col min="4612" max="4612" width="14.375" style="183" customWidth="1"/>
    <col min="4613" max="4613" width="3.25" style="183" customWidth="1"/>
    <col min="4614" max="4617" width="12.375" style="183" customWidth="1"/>
    <col min="4618" max="4620" width="7" style="183" customWidth="1"/>
    <col min="4621" max="4621" width="3.25" style="183" customWidth="1"/>
    <col min="4622" max="4625" width="12.375" style="183" customWidth="1"/>
    <col min="4626" max="4628" width="7" style="183" customWidth="1"/>
    <col min="4629" max="4629" width="3" style="183" customWidth="1"/>
    <col min="4630" max="4633" width="12.375" style="183" customWidth="1"/>
    <col min="4634" max="4636" width="7" style="183" customWidth="1"/>
    <col min="4637" max="4864" width="11" style="183" customWidth="1"/>
    <col min="4865" max="4865" width="2.75" style="183" customWidth="1"/>
    <col min="4866" max="4866" width="18.875" style="183" customWidth="1"/>
    <col min="4867" max="4867" width="26.625" style="183" customWidth="1"/>
    <col min="4868" max="4868" width="14.375" style="183" customWidth="1"/>
    <col min="4869" max="4869" width="3.25" style="183" customWidth="1"/>
    <col min="4870" max="4873" width="12.375" style="183" customWidth="1"/>
    <col min="4874" max="4876" width="7" style="183" customWidth="1"/>
    <col min="4877" max="4877" width="3.25" style="183" customWidth="1"/>
    <col min="4878" max="4881" width="12.375" style="183" customWidth="1"/>
    <col min="4882" max="4884" width="7" style="183" customWidth="1"/>
    <col min="4885" max="4885" width="3" style="183" customWidth="1"/>
    <col min="4886" max="4889" width="12.375" style="183" customWidth="1"/>
    <col min="4890" max="4892" width="7" style="183" customWidth="1"/>
    <col min="4893" max="5120" width="11" style="183" customWidth="1"/>
    <col min="5121" max="5121" width="2.75" style="183" customWidth="1"/>
    <col min="5122" max="5122" width="18.875" style="183" customWidth="1"/>
    <col min="5123" max="5123" width="26.625" style="183" customWidth="1"/>
    <col min="5124" max="5124" width="14.375" style="183" customWidth="1"/>
    <col min="5125" max="5125" width="3.25" style="183" customWidth="1"/>
    <col min="5126" max="5129" width="12.375" style="183" customWidth="1"/>
    <col min="5130" max="5132" width="7" style="183" customWidth="1"/>
    <col min="5133" max="5133" width="3.25" style="183" customWidth="1"/>
    <col min="5134" max="5137" width="12.375" style="183" customWidth="1"/>
    <col min="5138" max="5140" width="7" style="183" customWidth="1"/>
    <col min="5141" max="5141" width="3" style="183" customWidth="1"/>
    <col min="5142" max="5145" width="12.375" style="183" customWidth="1"/>
    <col min="5146" max="5148" width="7" style="183" customWidth="1"/>
    <col min="5149" max="5376" width="11" style="183" customWidth="1"/>
    <col min="5377" max="5377" width="2.75" style="183" customWidth="1"/>
    <col min="5378" max="5378" width="18.875" style="183" customWidth="1"/>
    <col min="5379" max="5379" width="26.625" style="183" customWidth="1"/>
    <col min="5380" max="5380" width="14.375" style="183" customWidth="1"/>
    <col min="5381" max="5381" width="3.25" style="183" customWidth="1"/>
    <col min="5382" max="5385" width="12.375" style="183" customWidth="1"/>
    <col min="5386" max="5388" width="7" style="183" customWidth="1"/>
    <col min="5389" max="5389" width="3.25" style="183" customWidth="1"/>
    <col min="5390" max="5393" width="12.375" style="183" customWidth="1"/>
    <col min="5394" max="5396" width="7" style="183" customWidth="1"/>
    <col min="5397" max="5397" width="3" style="183" customWidth="1"/>
    <col min="5398" max="5401" width="12.375" style="183" customWidth="1"/>
    <col min="5402" max="5404" width="7" style="183" customWidth="1"/>
    <col min="5405" max="5632" width="11" style="183" customWidth="1"/>
    <col min="5633" max="5633" width="2.75" style="183" customWidth="1"/>
    <col min="5634" max="5634" width="18.875" style="183" customWidth="1"/>
    <col min="5635" max="5635" width="26.625" style="183" customWidth="1"/>
    <col min="5636" max="5636" width="14.375" style="183" customWidth="1"/>
    <col min="5637" max="5637" width="3.25" style="183" customWidth="1"/>
    <col min="5638" max="5641" width="12.375" style="183" customWidth="1"/>
    <col min="5642" max="5644" width="7" style="183" customWidth="1"/>
    <col min="5645" max="5645" width="3.25" style="183" customWidth="1"/>
    <col min="5646" max="5649" width="12.375" style="183" customWidth="1"/>
    <col min="5650" max="5652" width="7" style="183" customWidth="1"/>
    <col min="5653" max="5653" width="3" style="183" customWidth="1"/>
    <col min="5654" max="5657" width="12.375" style="183" customWidth="1"/>
    <col min="5658" max="5660" width="7" style="183" customWidth="1"/>
    <col min="5661" max="5888" width="11" style="183" customWidth="1"/>
    <col min="5889" max="5889" width="2.75" style="183" customWidth="1"/>
    <col min="5890" max="5890" width="18.875" style="183" customWidth="1"/>
    <col min="5891" max="5891" width="26.625" style="183" customWidth="1"/>
    <col min="5892" max="5892" width="14.375" style="183" customWidth="1"/>
    <col min="5893" max="5893" width="3.25" style="183" customWidth="1"/>
    <col min="5894" max="5897" width="12.375" style="183" customWidth="1"/>
    <col min="5898" max="5900" width="7" style="183" customWidth="1"/>
    <col min="5901" max="5901" width="3.25" style="183" customWidth="1"/>
    <col min="5902" max="5905" width="12.375" style="183" customWidth="1"/>
    <col min="5906" max="5908" width="7" style="183" customWidth="1"/>
    <col min="5909" max="5909" width="3" style="183" customWidth="1"/>
    <col min="5910" max="5913" width="12.375" style="183" customWidth="1"/>
    <col min="5914" max="5916" width="7" style="183" customWidth="1"/>
    <col min="5917" max="6144" width="11" style="183" customWidth="1"/>
    <col min="6145" max="6145" width="2.75" style="183" customWidth="1"/>
    <col min="6146" max="6146" width="18.875" style="183" customWidth="1"/>
    <col min="6147" max="6147" width="26.625" style="183" customWidth="1"/>
    <col min="6148" max="6148" width="14.375" style="183" customWidth="1"/>
    <col min="6149" max="6149" width="3.25" style="183" customWidth="1"/>
    <col min="6150" max="6153" width="12.375" style="183" customWidth="1"/>
    <col min="6154" max="6156" width="7" style="183" customWidth="1"/>
    <col min="6157" max="6157" width="3.25" style="183" customWidth="1"/>
    <col min="6158" max="6161" width="12.375" style="183" customWidth="1"/>
    <col min="6162" max="6164" width="7" style="183" customWidth="1"/>
    <col min="6165" max="6165" width="3" style="183" customWidth="1"/>
    <col min="6166" max="6169" width="12.375" style="183" customWidth="1"/>
    <col min="6170" max="6172" width="7" style="183" customWidth="1"/>
    <col min="6173" max="6400" width="11" style="183" customWidth="1"/>
    <col min="6401" max="6401" width="2.75" style="183" customWidth="1"/>
    <col min="6402" max="6402" width="18.875" style="183" customWidth="1"/>
    <col min="6403" max="6403" width="26.625" style="183" customWidth="1"/>
    <col min="6404" max="6404" width="14.375" style="183" customWidth="1"/>
    <col min="6405" max="6405" width="3.25" style="183" customWidth="1"/>
    <col min="6406" max="6409" width="12.375" style="183" customWidth="1"/>
    <col min="6410" max="6412" width="7" style="183" customWidth="1"/>
    <col min="6413" max="6413" width="3.25" style="183" customWidth="1"/>
    <col min="6414" max="6417" width="12.375" style="183" customWidth="1"/>
    <col min="6418" max="6420" width="7" style="183" customWidth="1"/>
    <col min="6421" max="6421" width="3" style="183" customWidth="1"/>
    <col min="6422" max="6425" width="12.375" style="183" customWidth="1"/>
    <col min="6426" max="6428" width="7" style="183" customWidth="1"/>
    <col min="6429" max="6656" width="11" style="183" customWidth="1"/>
    <col min="6657" max="6657" width="2.75" style="183" customWidth="1"/>
    <col min="6658" max="6658" width="18.875" style="183" customWidth="1"/>
    <col min="6659" max="6659" width="26.625" style="183" customWidth="1"/>
    <col min="6660" max="6660" width="14.375" style="183" customWidth="1"/>
    <col min="6661" max="6661" width="3.25" style="183" customWidth="1"/>
    <col min="6662" max="6665" width="12.375" style="183" customWidth="1"/>
    <col min="6666" max="6668" width="7" style="183" customWidth="1"/>
    <col min="6669" max="6669" width="3.25" style="183" customWidth="1"/>
    <col min="6670" max="6673" width="12.375" style="183" customWidth="1"/>
    <col min="6674" max="6676" width="7" style="183" customWidth="1"/>
    <col min="6677" max="6677" width="3" style="183" customWidth="1"/>
    <col min="6678" max="6681" width="12.375" style="183" customWidth="1"/>
    <col min="6682" max="6684" width="7" style="183" customWidth="1"/>
    <col min="6685" max="6912" width="11" style="183" customWidth="1"/>
    <col min="6913" max="6913" width="2.75" style="183" customWidth="1"/>
    <col min="6914" max="6914" width="18.875" style="183" customWidth="1"/>
    <col min="6915" max="6915" width="26.625" style="183" customWidth="1"/>
    <col min="6916" max="6916" width="14.375" style="183" customWidth="1"/>
    <col min="6917" max="6917" width="3.25" style="183" customWidth="1"/>
    <col min="6918" max="6921" width="12.375" style="183" customWidth="1"/>
    <col min="6922" max="6924" width="7" style="183" customWidth="1"/>
    <col min="6925" max="6925" width="3.25" style="183" customWidth="1"/>
    <col min="6926" max="6929" width="12.375" style="183" customWidth="1"/>
    <col min="6930" max="6932" width="7" style="183" customWidth="1"/>
    <col min="6933" max="6933" width="3" style="183" customWidth="1"/>
    <col min="6934" max="6937" width="12.375" style="183" customWidth="1"/>
    <col min="6938" max="6940" width="7" style="183" customWidth="1"/>
    <col min="6941" max="7168" width="11" style="183" customWidth="1"/>
    <col min="7169" max="7169" width="2.75" style="183" customWidth="1"/>
    <col min="7170" max="7170" width="18.875" style="183" customWidth="1"/>
    <col min="7171" max="7171" width="26.625" style="183" customWidth="1"/>
    <col min="7172" max="7172" width="14.375" style="183" customWidth="1"/>
    <col min="7173" max="7173" width="3.25" style="183" customWidth="1"/>
    <col min="7174" max="7177" width="12.375" style="183" customWidth="1"/>
    <col min="7178" max="7180" width="7" style="183" customWidth="1"/>
    <col min="7181" max="7181" width="3.25" style="183" customWidth="1"/>
    <col min="7182" max="7185" width="12.375" style="183" customWidth="1"/>
    <col min="7186" max="7188" width="7" style="183" customWidth="1"/>
    <col min="7189" max="7189" width="3" style="183" customWidth="1"/>
    <col min="7190" max="7193" width="12.375" style="183" customWidth="1"/>
    <col min="7194" max="7196" width="7" style="183" customWidth="1"/>
    <col min="7197" max="7424" width="11" style="183" customWidth="1"/>
    <col min="7425" max="7425" width="2.75" style="183" customWidth="1"/>
    <col min="7426" max="7426" width="18.875" style="183" customWidth="1"/>
    <col min="7427" max="7427" width="26.625" style="183" customWidth="1"/>
    <col min="7428" max="7428" width="14.375" style="183" customWidth="1"/>
    <col min="7429" max="7429" width="3.25" style="183" customWidth="1"/>
    <col min="7430" max="7433" width="12.375" style="183" customWidth="1"/>
    <col min="7434" max="7436" width="7" style="183" customWidth="1"/>
    <col min="7437" max="7437" width="3.25" style="183" customWidth="1"/>
    <col min="7438" max="7441" width="12.375" style="183" customWidth="1"/>
    <col min="7442" max="7444" width="7" style="183" customWidth="1"/>
    <col min="7445" max="7445" width="3" style="183" customWidth="1"/>
    <col min="7446" max="7449" width="12.375" style="183" customWidth="1"/>
    <col min="7450" max="7452" width="7" style="183" customWidth="1"/>
    <col min="7453" max="7680" width="11" style="183" customWidth="1"/>
    <col min="7681" max="7681" width="2.75" style="183" customWidth="1"/>
    <col min="7682" max="7682" width="18.875" style="183" customWidth="1"/>
    <col min="7683" max="7683" width="26.625" style="183" customWidth="1"/>
    <col min="7684" max="7684" width="14.375" style="183" customWidth="1"/>
    <col min="7685" max="7685" width="3.25" style="183" customWidth="1"/>
    <col min="7686" max="7689" width="12.375" style="183" customWidth="1"/>
    <col min="7690" max="7692" width="7" style="183" customWidth="1"/>
    <col min="7693" max="7693" width="3.25" style="183" customWidth="1"/>
    <col min="7694" max="7697" width="12.375" style="183" customWidth="1"/>
    <col min="7698" max="7700" width="7" style="183" customWidth="1"/>
    <col min="7701" max="7701" width="3" style="183" customWidth="1"/>
    <col min="7702" max="7705" width="12.375" style="183" customWidth="1"/>
    <col min="7706" max="7708" width="7" style="183" customWidth="1"/>
    <col min="7709" max="7936" width="11" style="183" customWidth="1"/>
    <col min="7937" max="7937" width="2.75" style="183" customWidth="1"/>
    <col min="7938" max="7938" width="18.875" style="183" customWidth="1"/>
    <col min="7939" max="7939" width="26.625" style="183" customWidth="1"/>
    <col min="7940" max="7940" width="14.375" style="183" customWidth="1"/>
    <col min="7941" max="7941" width="3.25" style="183" customWidth="1"/>
    <col min="7942" max="7945" width="12.375" style="183" customWidth="1"/>
    <col min="7946" max="7948" width="7" style="183" customWidth="1"/>
    <col min="7949" max="7949" width="3.25" style="183" customWidth="1"/>
    <col min="7950" max="7953" width="12.375" style="183" customWidth="1"/>
    <col min="7954" max="7956" width="7" style="183" customWidth="1"/>
    <col min="7957" max="7957" width="3" style="183" customWidth="1"/>
    <col min="7958" max="7961" width="12.375" style="183" customWidth="1"/>
    <col min="7962" max="7964" width="7" style="183" customWidth="1"/>
    <col min="7965" max="8192" width="11" style="183" customWidth="1"/>
    <col min="8193" max="8193" width="2.75" style="183" customWidth="1"/>
    <col min="8194" max="8194" width="18.875" style="183" customWidth="1"/>
    <col min="8195" max="8195" width="26.625" style="183" customWidth="1"/>
    <col min="8196" max="8196" width="14.375" style="183" customWidth="1"/>
    <col min="8197" max="8197" width="3.25" style="183" customWidth="1"/>
    <col min="8198" max="8201" width="12.375" style="183" customWidth="1"/>
    <col min="8202" max="8204" width="7" style="183" customWidth="1"/>
    <col min="8205" max="8205" width="3.25" style="183" customWidth="1"/>
    <col min="8206" max="8209" width="12.375" style="183" customWidth="1"/>
    <col min="8210" max="8212" width="7" style="183" customWidth="1"/>
    <col min="8213" max="8213" width="3" style="183" customWidth="1"/>
    <col min="8214" max="8217" width="12.375" style="183" customWidth="1"/>
    <col min="8218" max="8220" width="7" style="183" customWidth="1"/>
    <col min="8221" max="8448" width="11" style="183" customWidth="1"/>
    <col min="8449" max="8449" width="2.75" style="183" customWidth="1"/>
    <col min="8450" max="8450" width="18.875" style="183" customWidth="1"/>
    <col min="8451" max="8451" width="26.625" style="183" customWidth="1"/>
    <col min="8452" max="8452" width="14.375" style="183" customWidth="1"/>
    <col min="8453" max="8453" width="3.25" style="183" customWidth="1"/>
    <col min="8454" max="8457" width="12.375" style="183" customWidth="1"/>
    <col min="8458" max="8460" width="7" style="183" customWidth="1"/>
    <col min="8461" max="8461" width="3.25" style="183" customWidth="1"/>
    <col min="8462" max="8465" width="12.375" style="183" customWidth="1"/>
    <col min="8466" max="8468" width="7" style="183" customWidth="1"/>
    <col min="8469" max="8469" width="3" style="183" customWidth="1"/>
    <col min="8470" max="8473" width="12.375" style="183" customWidth="1"/>
    <col min="8474" max="8476" width="7" style="183" customWidth="1"/>
    <col min="8477" max="8704" width="11" style="183" customWidth="1"/>
    <col min="8705" max="8705" width="2.75" style="183" customWidth="1"/>
    <col min="8706" max="8706" width="18.875" style="183" customWidth="1"/>
    <col min="8707" max="8707" width="26.625" style="183" customWidth="1"/>
    <col min="8708" max="8708" width="14.375" style="183" customWidth="1"/>
    <col min="8709" max="8709" width="3.25" style="183" customWidth="1"/>
    <col min="8710" max="8713" width="12.375" style="183" customWidth="1"/>
    <col min="8714" max="8716" width="7" style="183" customWidth="1"/>
    <col min="8717" max="8717" width="3.25" style="183" customWidth="1"/>
    <col min="8718" max="8721" width="12.375" style="183" customWidth="1"/>
    <col min="8722" max="8724" width="7" style="183" customWidth="1"/>
    <col min="8725" max="8725" width="3" style="183" customWidth="1"/>
    <col min="8726" max="8729" width="12.375" style="183" customWidth="1"/>
    <col min="8730" max="8732" width="7" style="183" customWidth="1"/>
    <col min="8733" max="8960" width="11" style="183" customWidth="1"/>
    <col min="8961" max="8961" width="2.75" style="183" customWidth="1"/>
    <col min="8962" max="8962" width="18.875" style="183" customWidth="1"/>
    <col min="8963" max="8963" width="26.625" style="183" customWidth="1"/>
    <col min="8964" max="8964" width="14.375" style="183" customWidth="1"/>
    <col min="8965" max="8965" width="3.25" style="183" customWidth="1"/>
    <col min="8966" max="8969" width="12.375" style="183" customWidth="1"/>
    <col min="8970" max="8972" width="7" style="183" customWidth="1"/>
    <col min="8973" max="8973" width="3.25" style="183" customWidth="1"/>
    <col min="8974" max="8977" width="12.375" style="183" customWidth="1"/>
    <col min="8978" max="8980" width="7" style="183" customWidth="1"/>
    <col min="8981" max="8981" width="3" style="183" customWidth="1"/>
    <col min="8982" max="8985" width="12.375" style="183" customWidth="1"/>
    <col min="8986" max="8988" width="7" style="183" customWidth="1"/>
    <col min="8989" max="9216" width="11" style="183" customWidth="1"/>
    <col min="9217" max="9217" width="2.75" style="183" customWidth="1"/>
    <col min="9218" max="9218" width="18.875" style="183" customWidth="1"/>
    <col min="9219" max="9219" width="26.625" style="183" customWidth="1"/>
    <col min="9220" max="9220" width="14.375" style="183" customWidth="1"/>
    <col min="9221" max="9221" width="3.25" style="183" customWidth="1"/>
    <col min="9222" max="9225" width="12.375" style="183" customWidth="1"/>
    <col min="9226" max="9228" width="7" style="183" customWidth="1"/>
    <col min="9229" max="9229" width="3.25" style="183" customWidth="1"/>
    <col min="9230" max="9233" width="12.375" style="183" customWidth="1"/>
    <col min="9234" max="9236" width="7" style="183" customWidth="1"/>
    <col min="9237" max="9237" width="3" style="183" customWidth="1"/>
    <col min="9238" max="9241" width="12.375" style="183" customWidth="1"/>
    <col min="9242" max="9244" width="7" style="183" customWidth="1"/>
    <col min="9245" max="9472" width="11" style="183" customWidth="1"/>
    <col min="9473" max="9473" width="2.75" style="183" customWidth="1"/>
    <col min="9474" max="9474" width="18.875" style="183" customWidth="1"/>
    <col min="9475" max="9475" width="26.625" style="183" customWidth="1"/>
    <col min="9476" max="9476" width="14.375" style="183" customWidth="1"/>
    <col min="9477" max="9477" width="3.25" style="183" customWidth="1"/>
    <col min="9478" max="9481" width="12.375" style="183" customWidth="1"/>
    <col min="9482" max="9484" width="7" style="183" customWidth="1"/>
    <col min="9485" max="9485" width="3.25" style="183" customWidth="1"/>
    <col min="9486" max="9489" width="12.375" style="183" customWidth="1"/>
    <col min="9490" max="9492" width="7" style="183" customWidth="1"/>
    <col min="9493" max="9493" width="3" style="183" customWidth="1"/>
    <col min="9494" max="9497" width="12.375" style="183" customWidth="1"/>
    <col min="9498" max="9500" width="7" style="183" customWidth="1"/>
    <col min="9501" max="9728" width="11" style="183" customWidth="1"/>
    <col min="9729" max="9729" width="2.75" style="183" customWidth="1"/>
    <col min="9730" max="9730" width="18.875" style="183" customWidth="1"/>
    <col min="9731" max="9731" width="26.625" style="183" customWidth="1"/>
    <col min="9732" max="9732" width="14.375" style="183" customWidth="1"/>
    <col min="9733" max="9733" width="3.25" style="183" customWidth="1"/>
    <col min="9734" max="9737" width="12.375" style="183" customWidth="1"/>
    <col min="9738" max="9740" width="7" style="183" customWidth="1"/>
    <col min="9741" max="9741" width="3.25" style="183" customWidth="1"/>
    <col min="9742" max="9745" width="12.375" style="183" customWidth="1"/>
    <col min="9746" max="9748" width="7" style="183" customWidth="1"/>
    <col min="9749" max="9749" width="3" style="183" customWidth="1"/>
    <col min="9750" max="9753" width="12.375" style="183" customWidth="1"/>
    <col min="9754" max="9756" width="7" style="183" customWidth="1"/>
    <col min="9757" max="9984" width="11" style="183" customWidth="1"/>
    <col min="9985" max="9985" width="2.75" style="183" customWidth="1"/>
    <col min="9986" max="9986" width="18.875" style="183" customWidth="1"/>
    <col min="9987" max="9987" width="26.625" style="183" customWidth="1"/>
    <col min="9988" max="9988" width="14.375" style="183" customWidth="1"/>
    <col min="9989" max="9989" width="3.25" style="183" customWidth="1"/>
    <col min="9990" max="9993" width="12.375" style="183" customWidth="1"/>
    <col min="9994" max="9996" width="7" style="183" customWidth="1"/>
    <col min="9997" max="9997" width="3.25" style="183" customWidth="1"/>
    <col min="9998" max="10001" width="12.375" style="183" customWidth="1"/>
    <col min="10002" max="10004" width="7" style="183" customWidth="1"/>
    <col min="10005" max="10005" width="3" style="183" customWidth="1"/>
    <col min="10006" max="10009" width="12.375" style="183" customWidth="1"/>
    <col min="10010" max="10012" width="7" style="183" customWidth="1"/>
    <col min="10013" max="10240" width="11" style="183" customWidth="1"/>
    <col min="10241" max="10241" width="2.75" style="183" customWidth="1"/>
    <col min="10242" max="10242" width="18.875" style="183" customWidth="1"/>
    <col min="10243" max="10243" width="26.625" style="183" customWidth="1"/>
    <col min="10244" max="10244" width="14.375" style="183" customWidth="1"/>
    <col min="10245" max="10245" width="3.25" style="183" customWidth="1"/>
    <col min="10246" max="10249" width="12.375" style="183" customWidth="1"/>
    <col min="10250" max="10252" width="7" style="183" customWidth="1"/>
    <col min="10253" max="10253" width="3.25" style="183" customWidth="1"/>
    <col min="10254" max="10257" width="12.375" style="183" customWidth="1"/>
    <col min="10258" max="10260" width="7" style="183" customWidth="1"/>
    <col min="10261" max="10261" width="3" style="183" customWidth="1"/>
    <col min="10262" max="10265" width="12.375" style="183" customWidth="1"/>
    <col min="10266" max="10268" width="7" style="183" customWidth="1"/>
    <col min="10269" max="10496" width="11" style="183" customWidth="1"/>
    <col min="10497" max="10497" width="2.75" style="183" customWidth="1"/>
    <col min="10498" max="10498" width="18.875" style="183" customWidth="1"/>
    <col min="10499" max="10499" width="26.625" style="183" customWidth="1"/>
    <col min="10500" max="10500" width="14.375" style="183" customWidth="1"/>
    <col min="10501" max="10501" width="3.25" style="183" customWidth="1"/>
    <col min="10502" max="10505" width="12.375" style="183" customWidth="1"/>
    <col min="10506" max="10508" width="7" style="183" customWidth="1"/>
    <col min="10509" max="10509" width="3.25" style="183" customWidth="1"/>
    <col min="10510" max="10513" width="12.375" style="183" customWidth="1"/>
    <col min="10514" max="10516" width="7" style="183" customWidth="1"/>
    <col min="10517" max="10517" width="3" style="183" customWidth="1"/>
    <col min="10518" max="10521" width="12.375" style="183" customWidth="1"/>
    <col min="10522" max="10524" width="7" style="183" customWidth="1"/>
    <col min="10525" max="10752" width="11" style="183" customWidth="1"/>
    <col min="10753" max="10753" width="2.75" style="183" customWidth="1"/>
    <col min="10754" max="10754" width="18.875" style="183" customWidth="1"/>
    <col min="10755" max="10755" width="26.625" style="183" customWidth="1"/>
    <col min="10756" max="10756" width="14.375" style="183" customWidth="1"/>
    <col min="10757" max="10757" width="3.25" style="183" customWidth="1"/>
    <col min="10758" max="10761" width="12.375" style="183" customWidth="1"/>
    <col min="10762" max="10764" width="7" style="183" customWidth="1"/>
    <col min="10765" max="10765" width="3.25" style="183" customWidth="1"/>
    <col min="10766" max="10769" width="12.375" style="183" customWidth="1"/>
    <col min="10770" max="10772" width="7" style="183" customWidth="1"/>
    <col min="10773" max="10773" width="3" style="183" customWidth="1"/>
    <col min="10774" max="10777" width="12.375" style="183" customWidth="1"/>
    <col min="10778" max="10780" width="7" style="183" customWidth="1"/>
    <col min="10781" max="11008" width="11" style="183" customWidth="1"/>
    <col min="11009" max="11009" width="2.75" style="183" customWidth="1"/>
    <col min="11010" max="11010" width="18.875" style="183" customWidth="1"/>
    <col min="11011" max="11011" width="26.625" style="183" customWidth="1"/>
    <col min="11012" max="11012" width="14.375" style="183" customWidth="1"/>
    <col min="11013" max="11013" width="3.25" style="183" customWidth="1"/>
    <col min="11014" max="11017" width="12.375" style="183" customWidth="1"/>
    <col min="11018" max="11020" width="7" style="183" customWidth="1"/>
    <col min="11021" max="11021" width="3.25" style="183" customWidth="1"/>
    <col min="11022" max="11025" width="12.375" style="183" customWidth="1"/>
    <col min="11026" max="11028" width="7" style="183" customWidth="1"/>
    <col min="11029" max="11029" width="3" style="183" customWidth="1"/>
    <col min="11030" max="11033" width="12.375" style="183" customWidth="1"/>
    <col min="11034" max="11036" width="7" style="183" customWidth="1"/>
    <col min="11037" max="11264" width="11" style="183" customWidth="1"/>
    <col min="11265" max="11265" width="2.75" style="183" customWidth="1"/>
    <col min="11266" max="11266" width="18.875" style="183" customWidth="1"/>
    <col min="11267" max="11267" width="26.625" style="183" customWidth="1"/>
    <col min="11268" max="11268" width="14.375" style="183" customWidth="1"/>
    <col min="11269" max="11269" width="3.25" style="183" customWidth="1"/>
    <col min="11270" max="11273" width="12.375" style="183" customWidth="1"/>
    <col min="11274" max="11276" width="7" style="183" customWidth="1"/>
    <col min="11277" max="11277" width="3.25" style="183" customWidth="1"/>
    <col min="11278" max="11281" width="12.375" style="183" customWidth="1"/>
    <col min="11282" max="11284" width="7" style="183" customWidth="1"/>
    <col min="11285" max="11285" width="3" style="183" customWidth="1"/>
    <col min="11286" max="11289" width="12.375" style="183" customWidth="1"/>
    <col min="11290" max="11292" width="7" style="183" customWidth="1"/>
    <col min="11293" max="11520" width="11" style="183" customWidth="1"/>
    <col min="11521" max="11521" width="2.75" style="183" customWidth="1"/>
    <col min="11522" max="11522" width="18.875" style="183" customWidth="1"/>
    <col min="11523" max="11523" width="26.625" style="183" customWidth="1"/>
    <col min="11524" max="11524" width="14.375" style="183" customWidth="1"/>
    <col min="11525" max="11525" width="3.25" style="183" customWidth="1"/>
    <col min="11526" max="11529" width="12.375" style="183" customWidth="1"/>
    <col min="11530" max="11532" width="7" style="183" customWidth="1"/>
    <col min="11533" max="11533" width="3.25" style="183" customWidth="1"/>
    <col min="11534" max="11537" width="12.375" style="183" customWidth="1"/>
    <col min="11538" max="11540" width="7" style="183" customWidth="1"/>
    <col min="11541" max="11541" width="3" style="183" customWidth="1"/>
    <col min="11542" max="11545" width="12.375" style="183" customWidth="1"/>
    <col min="11546" max="11548" width="7" style="183" customWidth="1"/>
    <col min="11549" max="11776" width="11" style="183" customWidth="1"/>
    <col min="11777" max="11777" width="2.75" style="183" customWidth="1"/>
    <col min="11778" max="11778" width="18.875" style="183" customWidth="1"/>
    <col min="11779" max="11779" width="26.625" style="183" customWidth="1"/>
    <col min="11780" max="11780" width="14.375" style="183" customWidth="1"/>
    <col min="11781" max="11781" width="3.25" style="183" customWidth="1"/>
    <col min="11782" max="11785" width="12.375" style="183" customWidth="1"/>
    <col min="11786" max="11788" width="7" style="183" customWidth="1"/>
    <col min="11789" max="11789" width="3.25" style="183" customWidth="1"/>
    <col min="11790" max="11793" width="12.375" style="183" customWidth="1"/>
    <col min="11794" max="11796" width="7" style="183" customWidth="1"/>
    <col min="11797" max="11797" width="3" style="183" customWidth="1"/>
    <col min="11798" max="11801" width="12.375" style="183" customWidth="1"/>
    <col min="11802" max="11804" width="7" style="183" customWidth="1"/>
    <col min="11805" max="12032" width="11" style="183" customWidth="1"/>
    <col min="12033" max="12033" width="2.75" style="183" customWidth="1"/>
    <col min="12034" max="12034" width="18.875" style="183" customWidth="1"/>
    <col min="12035" max="12035" width="26.625" style="183" customWidth="1"/>
    <col min="12036" max="12036" width="14.375" style="183" customWidth="1"/>
    <col min="12037" max="12037" width="3.25" style="183" customWidth="1"/>
    <col min="12038" max="12041" width="12.375" style="183" customWidth="1"/>
    <col min="12042" max="12044" width="7" style="183" customWidth="1"/>
    <col min="12045" max="12045" width="3.25" style="183" customWidth="1"/>
    <col min="12046" max="12049" width="12.375" style="183" customWidth="1"/>
    <col min="12050" max="12052" width="7" style="183" customWidth="1"/>
    <col min="12053" max="12053" width="3" style="183" customWidth="1"/>
    <col min="12054" max="12057" width="12.375" style="183" customWidth="1"/>
    <col min="12058" max="12060" width="7" style="183" customWidth="1"/>
    <col min="12061" max="12288" width="11" style="183" customWidth="1"/>
    <col min="12289" max="12289" width="2.75" style="183" customWidth="1"/>
    <col min="12290" max="12290" width="18.875" style="183" customWidth="1"/>
    <col min="12291" max="12291" width="26.625" style="183" customWidth="1"/>
    <col min="12292" max="12292" width="14.375" style="183" customWidth="1"/>
    <col min="12293" max="12293" width="3.25" style="183" customWidth="1"/>
    <col min="12294" max="12297" width="12.375" style="183" customWidth="1"/>
    <col min="12298" max="12300" width="7" style="183" customWidth="1"/>
    <col min="12301" max="12301" width="3.25" style="183" customWidth="1"/>
    <col min="12302" max="12305" width="12.375" style="183" customWidth="1"/>
    <col min="12306" max="12308" width="7" style="183" customWidth="1"/>
    <col min="12309" max="12309" width="3" style="183" customWidth="1"/>
    <col min="12310" max="12313" width="12.375" style="183" customWidth="1"/>
    <col min="12314" max="12316" width="7" style="183" customWidth="1"/>
    <col min="12317" max="12544" width="11" style="183" customWidth="1"/>
    <col min="12545" max="12545" width="2.75" style="183" customWidth="1"/>
    <col min="12546" max="12546" width="18.875" style="183" customWidth="1"/>
    <col min="12547" max="12547" width="26.625" style="183" customWidth="1"/>
    <col min="12548" max="12548" width="14.375" style="183" customWidth="1"/>
    <col min="12549" max="12549" width="3.25" style="183" customWidth="1"/>
    <col min="12550" max="12553" width="12.375" style="183" customWidth="1"/>
    <col min="12554" max="12556" width="7" style="183" customWidth="1"/>
    <col min="12557" max="12557" width="3.25" style="183" customWidth="1"/>
    <col min="12558" max="12561" width="12.375" style="183" customWidth="1"/>
    <col min="12562" max="12564" width="7" style="183" customWidth="1"/>
    <col min="12565" max="12565" width="3" style="183" customWidth="1"/>
    <col min="12566" max="12569" width="12.375" style="183" customWidth="1"/>
    <col min="12570" max="12572" width="7" style="183" customWidth="1"/>
    <col min="12573" max="12800" width="11" style="183" customWidth="1"/>
    <col min="12801" max="12801" width="2.75" style="183" customWidth="1"/>
    <col min="12802" max="12802" width="18.875" style="183" customWidth="1"/>
    <col min="12803" max="12803" width="26.625" style="183" customWidth="1"/>
    <col min="12804" max="12804" width="14.375" style="183" customWidth="1"/>
    <col min="12805" max="12805" width="3.25" style="183" customWidth="1"/>
    <col min="12806" max="12809" width="12.375" style="183" customWidth="1"/>
    <col min="12810" max="12812" width="7" style="183" customWidth="1"/>
    <col min="12813" max="12813" width="3.25" style="183" customWidth="1"/>
    <col min="12814" max="12817" width="12.375" style="183" customWidth="1"/>
    <col min="12818" max="12820" width="7" style="183" customWidth="1"/>
    <col min="12821" max="12821" width="3" style="183" customWidth="1"/>
    <col min="12822" max="12825" width="12.375" style="183" customWidth="1"/>
    <col min="12826" max="12828" width="7" style="183" customWidth="1"/>
    <col min="12829" max="13056" width="11" style="183" customWidth="1"/>
    <col min="13057" max="13057" width="2.75" style="183" customWidth="1"/>
    <col min="13058" max="13058" width="18.875" style="183" customWidth="1"/>
    <col min="13059" max="13059" width="26.625" style="183" customWidth="1"/>
    <col min="13060" max="13060" width="14.375" style="183" customWidth="1"/>
    <col min="13061" max="13061" width="3.25" style="183" customWidth="1"/>
    <col min="13062" max="13065" width="12.375" style="183" customWidth="1"/>
    <col min="13066" max="13068" width="7" style="183" customWidth="1"/>
    <col min="13069" max="13069" width="3.25" style="183" customWidth="1"/>
    <col min="13070" max="13073" width="12.375" style="183" customWidth="1"/>
    <col min="13074" max="13076" width="7" style="183" customWidth="1"/>
    <col min="13077" max="13077" width="3" style="183" customWidth="1"/>
    <col min="13078" max="13081" width="12.375" style="183" customWidth="1"/>
    <col min="13082" max="13084" width="7" style="183" customWidth="1"/>
    <col min="13085" max="13312" width="11" style="183" customWidth="1"/>
    <col min="13313" max="13313" width="2.75" style="183" customWidth="1"/>
    <col min="13314" max="13314" width="18.875" style="183" customWidth="1"/>
    <col min="13315" max="13315" width="26.625" style="183" customWidth="1"/>
    <col min="13316" max="13316" width="14.375" style="183" customWidth="1"/>
    <col min="13317" max="13317" width="3.25" style="183" customWidth="1"/>
    <col min="13318" max="13321" width="12.375" style="183" customWidth="1"/>
    <col min="13322" max="13324" width="7" style="183" customWidth="1"/>
    <col min="13325" max="13325" width="3.25" style="183" customWidth="1"/>
    <col min="13326" max="13329" width="12.375" style="183" customWidth="1"/>
    <col min="13330" max="13332" width="7" style="183" customWidth="1"/>
    <col min="13333" max="13333" width="3" style="183" customWidth="1"/>
    <col min="13334" max="13337" width="12.375" style="183" customWidth="1"/>
    <col min="13338" max="13340" width="7" style="183" customWidth="1"/>
    <col min="13341" max="13568" width="11" style="183" customWidth="1"/>
    <col min="13569" max="13569" width="2.75" style="183" customWidth="1"/>
    <col min="13570" max="13570" width="18.875" style="183" customWidth="1"/>
    <col min="13571" max="13571" width="26.625" style="183" customWidth="1"/>
    <col min="13572" max="13572" width="14.375" style="183" customWidth="1"/>
    <col min="13573" max="13573" width="3.25" style="183" customWidth="1"/>
    <col min="13574" max="13577" width="12.375" style="183" customWidth="1"/>
    <col min="13578" max="13580" width="7" style="183" customWidth="1"/>
    <col min="13581" max="13581" width="3.25" style="183" customWidth="1"/>
    <col min="13582" max="13585" width="12.375" style="183" customWidth="1"/>
    <col min="13586" max="13588" width="7" style="183" customWidth="1"/>
    <col min="13589" max="13589" width="3" style="183" customWidth="1"/>
    <col min="13590" max="13593" width="12.375" style="183" customWidth="1"/>
    <col min="13594" max="13596" width="7" style="183" customWidth="1"/>
    <col min="13597" max="13824" width="11" style="183" customWidth="1"/>
    <col min="13825" max="13825" width="2.75" style="183" customWidth="1"/>
    <col min="13826" max="13826" width="18.875" style="183" customWidth="1"/>
    <col min="13827" max="13827" width="26.625" style="183" customWidth="1"/>
    <col min="13828" max="13828" width="14.375" style="183" customWidth="1"/>
    <col min="13829" max="13829" width="3.25" style="183" customWidth="1"/>
    <col min="13830" max="13833" width="12.375" style="183" customWidth="1"/>
    <col min="13834" max="13836" width="7" style="183" customWidth="1"/>
    <col min="13837" max="13837" width="3.25" style="183" customWidth="1"/>
    <col min="13838" max="13841" width="12.375" style="183" customWidth="1"/>
    <col min="13842" max="13844" width="7" style="183" customWidth="1"/>
    <col min="13845" max="13845" width="3" style="183" customWidth="1"/>
    <col min="13846" max="13849" width="12.375" style="183" customWidth="1"/>
    <col min="13850" max="13852" width="7" style="183" customWidth="1"/>
    <col min="13853" max="14080" width="11" style="183" customWidth="1"/>
    <col min="14081" max="14081" width="2.75" style="183" customWidth="1"/>
    <col min="14082" max="14082" width="18.875" style="183" customWidth="1"/>
    <col min="14083" max="14083" width="26.625" style="183" customWidth="1"/>
    <col min="14084" max="14084" width="14.375" style="183" customWidth="1"/>
    <col min="14085" max="14085" width="3.25" style="183" customWidth="1"/>
    <col min="14086" max="14089" width="12.375" style="183" customWidth="1"/>
    <col min="14090" max="14092" width="7" style="183" customWidth="1"/>
    <col min="14093" max="14093" width="3.25" style="183" customWidth="1"/>
    <col min="14094" max="14097" width="12.375" style="183" customWidth="1"/>
    <col min="14098" max="14100" width="7" style="183" customWidth="1"/>
    <col min="14101" max="14101" width="3" style="183" customWidth="1"/>
    <col min="14102" max="14105" width="12.375" style="183" customWidth="1"/>
    <col min="14106" max="14108" width="7" style="183" customWidth="1"/>
    <col min="14109" max="14336" width="11" style="183" customWidth="1"/>
    <col min="14337" max="14337" width="2.75" style="183" customWidth="1"/>
    <col min="14338" max="14338" width="18.875" style="183" customWidth="1"/>
    <col min="14339" max="14339" width="26.625" style="183" customWidth="1"/>
    <col min="14340" max="14340" width="14.375" style="183" customWidth="1"/>
    <col min="14341" max="14341" width="3.25" style="183" customWidth="1"/>
    <col min="14342" max="14345" width="12.375" style="183" customWidth="1"/>
    <col min="14346" max="14348" width="7" style="183" customWidth="1"/>
    <col min="14349" max="14349" width="3.25" style="183" customWidth="1"/>
    <col min="14350" max="14353" width="12.375" style="183" customWidth="1"/>
    <col min="14354" max="14356" width="7" style="183" customWidth="1"/>
    <col min="14357" max="14357" width="3" style="183" customWidth="1"/>
    <col min="14358" max="14361" width="12.375" style="183" customWidth="1"/>
    <col min="14362" max="14364" width="7" style="183" customWidth="1"/>
    <col min="14365" max="14592" width="11" style="183" customWidth="1"/>
    <col min="14593" max="14593" width="2.75" style="183" customWidth="1"/>
    <col min="14594" max="14594" width="18.875" style="183" customWidth="1"/>
    <col min="14595" max="14595" width="26.625" style="183" customWidth="1"/>
    <col min="14596" max="14596" width="14.375" style="183" customWidth="1"/>
    <col min="14597" max="14597" width="3.25" style="183" customWidth="1"/>
    <col min="14598" max="14601" width="12.375" style="183" customWidth="1"/>
    <col min="14602" max="14604" width="7" style="183" customWidth="1"/>
    <col min="14605" max="14605" width="3.25" style="183" customWidth="1"/>
    <col min="14606" max="14609" width="12.375" style="183" customWidth="1"/>
    <col min="14610" max="14612" width="7" style="183" customWidth="1"/>
    <col min="14613" max="14613" width="3" style="183" customWidth="1"/>
    <col min="14614" max="14617" width="12.375" style="183" customWidth="1"/>
    <col min="14618" max="14620" width="7" style="183" customWidth="1"/>
    <col min="14621" max="14848" width="11" style="183" customWidth="1"/>
    <col min="14849" max="14849" width="2.75" style="183" customWidth="1"/>
    <col min="14850" max="14850" width="18.875" style="183" customWidth="1"/>
    <col min="14851" max="14851" width="26.625" style="183" customWidth="1"/>
    <col min="14852" max="14852" width="14.375" style="183" customWidth="1"/>
    <col min="14853" max="14853" width="3.25" style="183" customWidth="1"/>
    <col min="14854" max="14857" width="12.375" style="183" customWidth="1"/>
    <col min="14858" max="14860" width="7" style="183" customWidth="1"/>
    <col min="14861" max="14861" width="3.25" style="183" customWidth="1"/>
    <col min="14862" max="14865" width="12.375" style="183" customWidth="1"/>
    <col min="14866" max="14868" width="7" style="183" customWidth="1"/>
    <col min="14869" max="14869" width="3" style="183" customWidth="1"/>
    <col min="14870" max="14873" width="12.375" style="183" customWidth="1"/>
    <col min="14874" max="14876" width="7" style="183" customWidth="1"/>
    <col min="14877" max="15104" width="11" style="183" customWidth="1"/>
    <col min="15105" max="15105" width="2.75" style="183" customWidth="1"/>
    <col min="15106" max="15106" width="18.875" style="183" customWidth="1"/>
    <col min="15107" max="15107" width="26.625" style="183" customWidth="1"/>
    <col min="15108" max="15108" width="14.375" style="183" customWidth="1"/>
    <col min="15109" max="15109" width="3.25" style="183" customWidth="1"/>
    <col min="15110" max="15113" width="12.375" style="183" customWidth="1"/>
    <col min="15114" max="15116" width="7" style="183" customWidth="1"/>
    <col min="15117" max="15117" width="3.25" style="183" customWidth="1"/>
    <col min="15118" max="15121" width="12.375" style="183" customWidth="1"/>
    <col min="15122" max="15124" width="7" style="183" customWidth="1"/>
    <col min="15125" max="15125" width="3" style="183" customWidth="1"/>
    <col min="15126" max="15129" width="12.375" style="183" customWidth="1"/>
    <col min="15130" max="15132" width="7" style="183" customWidth="1"/>
    <col min="15133" max="15360" width="11" style="183" customWidth="1"/>
    <col min="15361" max="15361" width="2.75" style="183" customWidth="1"/>
    <col min="15362" max="15362" width="18.875" style="183" customWidth="1"/>
    <col min="15363" max="15363" width="26.625" style="183" customWidth="1"/>
    <col min="15364" max="15364" width="14.375" style="183" customWidth="1"/>
    <col min="15365" max="15365" width="3.25" style="183" customWidth="1"/>
    <col min="15366" max="15369" width="12.375" style="183" customWidth="1"/>
    <col min="15370" max="15372" width="7" style="183" customWidth="1"/>
    <col min="15373" max="15373" width="3.25" style="183" customWidth="1"/>
    <col min="15374" max="15377" width="12.375" style="183" customWidth="1"/>
    <col min="15378" max="15380" width="7" style="183" customWidth="1"/>
    <col min="15381" max="15381" width="3" style="183" customWidth="1"/>
    <col min="15382" max="15385" width="12.375" style="183" customWidth="1"/>
    <col min="15386" max="15388" width="7" style="183" customWidth="1"/>
    <col min="15389" max="15616" width="11" style="183" customWidth="1"/>
    <col min="15617" max="15617" width="2.75" style="183" customWidth="1"/>
    <col min="15618" max="15618" width="18.875" style="183" customWidth="1"/>
    <col min="15619" max="15619" width="26.625" style="183" customWidth="1"/>
    <col min="15620" max="15620" width="14.375" style="183" customWidth="1"/>
    <col min="15621" max="15621" width="3.25" style="183" customWidth="1"/>
    <col min="15622" max="15625" width="12.375" style="183" customWidth="1"/>
    <col min="15626" max="15628" width="7" style="183" customWidth="1"/>
    <col min="15629" max="15629" width="3.25" style="183" customWidth="1"/>
    <col min="15630" max="15633" width="12.375" style="183" customWidth="1"/>
    <col min="15634" max="15636" width="7" style="183" customWidth="1"/>
    <col min="15637" max="15637" width="3" style="183" customWidth="1"/>
    <col min="15638" max="15641" width="12.375" style="183" customWidth="1"/>
    <col min="15642" max="15644" width="7" style="183" customWidth="1"/>
    <col min="15645" max="15872" width="11" style="183" customWidth="1"/>
    <col min="15873" max="15873" width="2.75" style="183" customWidth="1"/>
    <col min="15874" max="15874" width="18.875" style="183" customWidth="1"/>
    <col min="15875" max="15875" width="26.625" style="183" customWidth="1"/>
    <col min="15876" max="15876" width="14.375" style="183" customWidth="1"/>
    <col min="15877" max="15877" width="3.25" style="183" customWidth="1"/>
    <col min="15878" max="15881" width="12.375" style="183" customWidth="1"/>
    <col min="15882" max="15884" width="7" style="183" customWidth="1"/>
    <col min="15885" max="15885" width="3.25" style="183" customWidth="1"/>
    <col min="15886" max="15889" width="12.375" style="183" customWidth="1"/>
    <col min="15890" max="15892" width="7" style="183" customWidth="1"/>
    <col min="15893" max="15893" width="3" style="183" customWidth="1"/>
    <col min="15894" max="15897" width="12.375" style="183" customWidth="1"/>
    <col min="15898" max="15900" width="7" style="183" customWidth="1"/>
    <col min="15901" max="16128" width="11" style="183" customWidth="1"/>
    <col min="16129" max="16129" width="2.75" style="183" customWidth="1"/>
    <col min="16130" max="16130" width="18.875" style="183" customWidth="1"/>
    <col min="16131" max="16131" width="26.625" style="183" customWidth="1"/>
    <col min="16132" max="16132" width="14.375" style="183" customWidth="1"/>
    <col min="16133" max="16133" width="3.25" style="183" customWidth="1"/>
    <col min="16134" max="16137" width="12.375" style="183" customWidth="1"/>
    <col min="16138" max="16140" width="7" style="183" customWidth="1"/>
    <col min="16141" max="16141" width="3.25" style="183" customWidth="1"/>
    <col min="16142" max="16145" width="12.375" style="183" customWidth="1"/>
    <col min="16146" max="16148" width="7" style="183" customWidth="1"/>
    <col min="16149" max="16149" width="3" style="183" customWidth="1"/>
    <col min="16150" max="16153" width="12.375" style="183" customWidth="1"/>
    <col min="16154" max="16156" width="7" style="183" customWidth="1"/>
    <col min="16157" max="16384" width="11" style="183" customWidth="1"/>
  </cols>
  <sheetData>
    <row r="1" spans="1:39" s="181" customFormat="1" ht="57.75" customHeight="1" x14ac:dyDescent="0.25">
      <c r="A1" s="175" t="s">
        <v>0</v>
      </c>
      <c r="B1" s="176"/>
      <c r="C1" s="177"/>
      <c r="D1" s="403" t="s">
        <v>32</v>
      </c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178"/>
      <c r="W1" s="178"/>
      <c r="X1" s="178"/>
      <c r="Y1" s="178"/>
      <c r="Z1" s="177"/>
      <c r="AA1" s="177"/>
      <c r="AB1" s="179" t="s">
        <v>0</v>
      </c>
      <c r="AC1" s="180"/>
    </row>
    <row r="2" spans="1:39" s="181" customFormat="1" ht="24.75" customHeight="1" thickBot="1" x14ac:dyDescent="0.3"/>
    <row r="3" spans="1:39" ht="47.25" customHeight="1" thickBot="1" x14ac:dyDescent="0.3">
      <c r="A3" s="404" t="s">
        <v>31</v>
      </c>
      <c r="B3" s="405"/>
      <c r="C3" s="406" t="s">
        <v>109</v>
      </c>
      <c r="D3" s="407"/>
      <c r="E3" s="182"/>
      <c r="H3" s="184"/>
      <c r="L3" s="185" t="s">
        <v>89</v>
      </c>
      <c r="AD3" s="181"/>
      <c r="AE3" s="181"/>
      <c r="AF3" s="181"/>
      <c r="AG3" s="181"/>
      <c r="AH3" s="181"/>
      <c r="AI3" s="181"/>
      <c r="AJ3" s="181"/>
      <c r="AK3" s="181"/>
      <c r="AL3" s="181"/>
      <c r="AM3" s="181"/>
    </row>
    <row r="4" spans="1:39" ht="24.75" customHeight="1" thickBot="1" x14ac:dyDescent="0.3">
      <c r="E4" s="186"/>
      <c r="H4" s="187" t="s">
        <v>28</v>
      </c>
      <c r="I4" s="188"/>
      <c r="J4" s="188"/>
      <c r="K4" s="188"/>
      <c r="L4" s="189" t="s">
        <v>16</v>
      </c>
      <c r="M4" s="188"/>
      <c r="N4" s="188"/>
      <c r="O4" s="188"/>
      <c r="P4" s="187" t="s">
        <v>29</v>
      </c>
      <c r="AD4" s="181"/>
      <c r="AE4" s="181"/>
      <c r="AF4" s="181"/>
      <c r="AG4" s="181"/>
      <c r="AH4" s="181"/>
      <c r="AI4" s="181"/>
      <c r="AJ4" s="181"/>
      <c r="AK4" s="181"/>
      <c r="AL4" s="181"/>
      <c r="AM4" s="181"/>
    </row>
    <row r="5" spans="1:39" ht="47.25" customHeight="1" thickBot="1" x14ac:dyDescent="0.3">
      <c r="A5" s="404" t="s">
        <v>30</v>
      </c>
      <c r="B5" s="405"/>
      <c r="C5" s="406" t="s">
        <v>110</v>
      </c>
      <c r="D5" s="407"/>
      <c r="E5" s="190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1:39" ht="24.75" customHeight="1" x14ac:dyDescent="0.25">
      <c r="A6" s="190"/>
      <c r="B6" s="190"/>
      <c r="E6" s="190"/>
      <c r="F6" s="397" t="s">
        <v>6</v>
      </c>
      <c r="G6" s="397"/>
      <c r="H6" s="397"/>
      <c r="I6" s="397"/>
      <c r="J6" s="397"/>
      <c r="K6" s="397"/>
      <c r="L6" s="397"/>
      <c r="M6" s="191"/>
      <c r="N6" s="397" t="s">
        <v>15</v>
      </c>
      <c r="O6" s="397"/>
      <c r="P6" s="397"/>
      <c r="Q6" s="397"/>
      <c r="R6" s="397"/>
      <c r="S6" s="397"/>
      <c r="T6" s="397"/>
      <c r="U6" s="191"/>
      <c r="V6" s="400" t="s">
        <v>7</v>
      </c>
      <c r="W6" s="400"/>
      <c r="X6" s="400"/>
      <c r="Y6" s="400"/>
      <c r="Z6" s="400"/>
      <c r="AA6" s="400"/>
      <c r="AB6" s="400"/>
      <c r="AC6" s="186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1:39" ht="24.75" customHeight="1" x14ac:dyDescent="0.25">
      <c r="A7" s="192" t="s">
        <v>23</v>
      </c>
      <c r="B7" s="193"/>
      <c r="C7" s="194"/>
      <c r="D7" s="195" t="str">
        <f ca="1">IF(MONTH(TODAY())&lt;6,"( in Nov-Dec   -   March. Forecast )","( in May-Jun   -   Nov. Forecast )")</f>
        <v>( in May-Jun   -   Nov. Forecast )</v>
      </c>
      <c r="E7" s="196"/>
      <c r="F7" s="398">
        <v>2015</v>
      </c>
      <c r="G7" s="393">
        <f>+F7+1</f>
        <v>2016</v>
      </c>
      <c r="H7" s="393">
        <f>+G7+1</f>
        <v>2017</v>
      </c>
      <c r="I7" s="395">
        <f>+H7+1</f>
        <v>2018</v>
      </c>
      <c r="J7" s="197"/>
      <c r="K7" s="198" t="s">
        <v>11</v>
      </c>
      <c r="L7" s="199"/>
      <c r="N7" s="401"/>
      <c r="O7" s="401"/>
      <c r="P7" s="401"/>
      <c r="Q7" s="401"/>
      <c r="R7" s="200"/>
      <c r="S7" s="201"/>
      <c r="T7" s="200"/>
      <c r="U7" s="202"/>
      <c r="V7" s="402"/>
      <c r="W7" s="402"/>
      <c r="X7" s="402"/>
      <c r="Y7" s="402"/>
      <c r="Z7" s="200"/>
      <c r="AA7" s="201"/>
      <c r="AB7" s="200"/>
      <c r="AC7" s="203"/>
      <c r="AD7" s="181"/>
      <c r="AE7" s="181"/>
      <c r="AF7" s="181"/>
      <c r="AG7" s="181"/>
      <c r="AH7" s="181"/>
      <c r="AI7" s="181"/>
      <c r="AJ7" s="181"/>
      <c r="AK7" s="181"/>
      <c r="AL7" s="181"/>
      <c r="AM7" s="181"/>
    </row>
    <row r="8" spans="1:39" ht="24.75" customHeight="1" x14ac:dyDescent="0.25">
      <c r="A8" s="204"/>
      <c r="B8" s="193"/>
      <c r="C8" s="194"/>
      <c r="D8" s="205" t="s">
        <v>24</v>
      </c>
      <c r="E8" s="196"/>
      <c r="F8" s="399"/>
      <c r="G8" s="394"/>
      <c r="H8" s="394"/>
      <c r="I8" s="396"/>
      <c r="J8" s="206" t="str">
        <f>G7&amp;"/"&amp;RIGHT(F7,2)</f>
        <v>2016/15</v>
      </c>
      <c r="K8" s="207" t="str">
        <f>H7&amp;"/"&amp;RIGHT(G7,2)</f>
        <v>2017/16</v>
      </c>
      <c r="L8" s="208" t="str">
        <f>I7&amp;"/"&amp;RIGHT(H7,2)</f>
        <v>2018/17</v>
      </c>
      <c r="N8" s="402"/>
      <c r="O8" s="402"/>
      <c r="P8" s="402"/>
      <c r="Q8" s="402"/>
      <c r="R8" s="209"/>
      <c r="S8" s="209"/>
      <c r="T8" s="209"/>
      <c r="U8" s="202"/>
      <c r="V8" s="402"/>
      <c r="W8" s="402"/>
      <c r="X8" s="402"/>
      <c r="Y8" s="402"/>
      <c r="Z8" s="209"/>
      <c r="AA8" s="209"/>
      <c r="AB8" s="209"/>
      <c r="AC8" s="202"/>
      <c r="AD8" s="181"/>
      <c r="AE8" s="181"/>
      <c r="AF8" s="181"/>
      <c r="AG8" s="181"/>
      <c r="AH8" s="181"/>
      <c r="AI8" s="181"/>
      <c r="AJ8" s="181"/>
      <c r="AK8" s="181"/>
      <c r="AL8" s="181"/>
      <c r="AM8" s="181"/>
    </row>
    <row r="9" spans="1:39" ht="24.75" customHeight="1" x14ac:dyDescent="0.25">
      <c r="A9" s="190"/>
      <c r="B9" s="210" t="s">
        <v>18</v>
      </c>
      <c r="C9" s="190"/>
      <c r="D9" s="190"/>
      <c r="E9" s="190"/>
      <c r="F9" s="378">
        <v>12635.5</v>
      </c>
      <c r="G9" s="379">
        <v>12466.6</v>
      </c>
      <c r="H9" s="379">
        <v>12350</v>
      </c>
      <c r="I9" s="380">
        <v>12400</v>
      </c>
      <c r="J9" s="56">
        <f t="shared" ref="J9:L12" si="0">IF(OR(G9=0,F9=0),"",G9/F9-1)</f>
        <v>-1.3367100629179673E-2</v>
      </c>
      <c r="K9" s="57">
        <f t="shared" si="0"/>
        <v>-9.3529911924663534E-3</v>
      </c>
      <c r="L9" s="58">
        <f t="shared" si="0"/>
        <v>4.0485829959513442E-3</v>
      </c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181"/>
      <c r="AE9" s="181"/>
      <c r="AF9" s="181"/>
      <c r="AG9" s="181"/>
      <c r="AH9" s="181"/>
      <c r="AI9" s="181"/>
      <c r="AJ9" s="181"/>
      <c r="AK9" s="181"/>
      <c r="AL9" s="181"/>
      <c r="AM9" s="181"/>
    </row>
    <row r="10" spans="1:39" ht="24.75" customHeight="1" x14ac:dyDescent="0.25">
      <c r="A10" s="190"/>
      <c r="C10" s="213" t="s">
        <v>33</v>
      </c>
      <c r="D10" s="186"/>
      <c r="E10" s="190"/>
      <c r="F10" s="381">
        <v>4284.6000000000004</v>
      </c>
      <c r="G10" s="382">
        <v>4217.7</v>
      </c>
      <c r="H10" s="382">
        <f>G10-40</f>
        <v>4177.7</v>
      </c>
      <c r="I10" s="383">
        <v>4210</v>
      </c>
      <c r="J10" s="59">
        <f t="shared" si="0"/>
        <v>-1.5614059655510548E-2</v>
      </c>
      <c r="K10" s="60">
        <f t="shared" si="0"/>
        <v>-9.4838419043554723E-3</v>
      </c>
      <c r="L10" s="61">
        <f t="shared" si="0"/>
        <v>7.7315269167246292E-3</v>
      </c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</row>
    <row r="11" spans="1:39" ht="24.75" customHeight="1" x14ac:dyDescent="0.25">
      <c r="A11" s="190"/>
      <c r="C11" s="216" t="s">
        <v>34</v>
      </c>
      <c r="D11" s="216"/>
      <c r="E11" s="190"/>
      <c r="F11" s="381">
        <v>681.3</v>
      </c>
      <c r="G11" s="382">
        <v>669.5</v>
      </c>
      <c r="H11" s="382">
        <f>G11-14</f>
        <v>655.5</v>
      </c>
      <c r="I11" s="383">
        <f>H11-10</f>
        <v>645.5</v>
      </c>
      <c r="J11" s="59">
        <f t="shared" si="0"/>
        <v>-1.7319829737266978E-2</v>
      </c>
      <c r="K11" s="60">
        <f t="shared" si="0"/>
        <v>-2.0911127707244237E-2</v>
      </c>
      <c r="L11" s="61">
        <f t="shared" si="0"/>
        <v>-1.5255530129671957E-2</v>
      </c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</row>
    <row r="12" spans="1:39" ht="24.75" customHeight="1" x14ac:dyDescent="0.25">
      <c r="A12" s="190"/>
      <c r="C12" s="217" t="s">
        <v>38</v>
      </c>
      <c r="D12" s="186"/>
      <c r="E12" s="190"/>
      <c r="F12" s="384">
        <f>+F10+F11</f>
        <v>4965.9000000000005</v>
      </c>
      <c r="G12" s="385">
        <f>+G10+G11</f>
        <v>4887.2</v>
      </c>
      <c r="H12" s="385">
        <f>+H10+H11</f>
        <v>4833.2</v>
      </c>
      <c r="I12" s="386">
        <f>+I10+I11</f>
        <v>4855.5</v>
      </c>
      <c r="J12" s="59">
        <f t="shared" si="0"/>
        <v>-1.584808393241921E-2</v>
      </c>
      <c r="K12" s="60">
        <f t="shared" si="0"/>
        <v>-1.1049271566541119E-2</v>
      </c>
      <c r="L12" s="61">
        <f t="shared" si="0"/>
        <v>4.6139203840105392E-3</v>
      </c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</row>
    <row r="13" spans="1:39" ht="24.75" customHeight="1" x14ac:dyDescent="0.25">
      <c r="A13" s="220" t="s">
        <v>8</v>
      </c>
      <c r="B13" s="193"/>
      <c r="C13" s="193"/>
      <c r="D13" s="193"/>
      <c r="E13" s="193"/>
      <c r="F13" s="398">
        <f>$F$7</f>
        <v>2015</v>
      </c>
      <c r="G13" s="393">
        <f>+F13+1</f>
        <v>2016</v>
      </c>
      <c r="H13" s="393">
        <f>+G13+1</f>
        <v>2017</v>
      </c>
      <c r="I13" s="395">
        <f>+H13+1</f>
        <v>2018</v>
      </c>
      <c r="J13" s="197"/>
      <c r="K13" s="198" t="s">
        <v>11</v>
      </c>
      <c r="L13" s="199"/>
      <c r="M13" s="221"/>
      <c r="N13" s="398">
        <f>$F$7</f>
        <v>2015</v>
      </c>
      <c r="O13" s="393">
        <f>+N13+1</f>
        <v>2016</v>
      </c>
      <c r="P13" s="393">
        <f>+O13+1</f>
        <v>2017</v>
      </c>
      <c r="Q13" s="395">
        <f>+P13+1</f>
        <v>2018</v>
      </c>
      <c r="R13" s="197"/>
      <c r="S13" s="198" t="s">
        <v>11</v>
      </c>
      <c r="T13" s="199"/>
      <c r="U13" s="221"/>
      <c r="V13" s="398">
        <f>$F$7</f>
        <v>2015</v>
      </c>
      <c r="W13" s="393">
        <f>+V13+1</f>
        <v>2016</v>
      </c>
      <c r="X13" s="393">
        <f>+W13+1</f>
        <v>2017</v>
      </c>
      <c r="Y13" s="395">
        <f>+X13+1</f>
        <v>2018</v>
      </c>
      <c r="Z13" s="197"/>
      <c r="AA13" s="198" t="s">
        <v>11</v>
      </c>
      <c r="AB13" s="199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</row>
    <row r="14" spans="1:39" ht="24.75" customHeight="1" x14ac:dyDescent="0.25">
      <c r="A14" s="222"/>
      <c r="B14" s="193"/>
      <c r="C14" s="193"/>
      <c r="D14" s="223" t="s">
        <v>25</v>
      </c>
      <c r="E14" s="193"/>
      <c r="F14" s="399"/>
      <c r="G14" s="394"/>
      <c r="H14" s="394"/>
      <c r="I14" s="396"/>
      <c r="J14" s="206" t="str">
        <f>G13&amp;"/"&amp;RIGHT(F13,2)</f>
        <v>2016/15</v>
      </c>
      <c r="K14" s="207" t="str">
        <f>H13&amp;"/"&amp;RIGHT(G13,2)</f>
        <v>2017/16</v>
      </c>
      <c r="L14" s="208" t="str">
        <f>I13&amp;"/"&amp;RIGHT(H13,2)</f>
        <v>2018/17</v>
      </c>
      <c r="M14" s="221"/>
      <c r="N14" s="399"/>
      <c r="O14" s="394"/>
      <c r="P14" s="394"/>
      <c r="Q14" s="396"/>
      <c r="R14" s="206" t="str">
        <f>O13&amp;"/"&amp;RIGHT(N13,2)</f>
        <v>2016/15</v>
      </c>
      <c r="S14" s="207" t="str">
        <f>P13&amp;"/"&amp;RIGHT(O13,2)</f>
        <v>2017/16</v>
      </c>
      <c r="T14" s="208" t="str">
        <f>Q13&amp;"/"&amp;RIGHT(P13,2)</f>
        <v>2018/17</v>
      </c>
      <c r="U14" s="221"/>
      <c r="V14" s="399"/>
      <c r="W14" s="394"/>
      <c r="X14" s="394"/>
      <c r="Y14" s="396"/>
      <c r="Z14" s="206" t="str">
        <f>W13&amp;"/"&amp;RIGHT(V13,2)</f>
        <v>2016/15</v>
      </c>
      <c r="AA14" s="207" t="str">
        <f>X13&amp;"/"&amp;RIGHT(W13,2)</f>
        <v>2017/16</v>
      </c>
      <c r="AB14" s="208" t="str">
        <f>Y13&amp;"/"&amp;RIGHT(X13,2)</f>
        <v>2018/17</v>
      </c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</row>
    <row r="15" spans="1:39" ht="24.75" customHeight="1" x14ac:dyDescent="0.25">
      <c r="A15" s="224"/>
      <c r="B15" s="224"/>
      <c r="C15" s="186" t="s">
        <v>1</v>
      </c>
      <c r="D15" s="186"/>
      <c r="E15" s="190"/>
      <c r="F15" s="225">
        <v>533</v>
      </c>
      <c r="G15" s="226">
        <v>538.79999999999995</v>
      </c>
      <c r="H15" s="226">
        <f>X15-P15</f>
        <v>521.197</v>
      </c>
      <c r="I15" s="257">
        <f>Y15-Q15</f>
        <v>517.5</v>
      </c>
      <c r="J15" s="62">
        <f t="shared" ref="J15:L21" si="1">IF(OR(G15=0,F15=0),"",G15/F15-1)</f>
        <v>1.0881801125703472E-2</v>
      </c>
      <c r="K15" s="63">
        <f t="shared" si="1"/>
        <v>-3.2670749814402322E-2</v>
      </c>
      <c r="L15" s="64">
        <f t="shared" si="1"/>
        <v>-7.0932871831572708E-3</v>
      </c>
      <c r="N15" s="225">
        <v>38.6</v>
      </c>
      <c r="O15" s="226">
        <v>38.4</v>
      </c>
      <c r="P15" s="226">
        <v>38</v>
      </c>
      <c r="Q15" s="257">
        <v>37.5</v>
      </c>
      <c r="R15" s="62">
        <f t="shared" ref="R15:T21" si="2">IF(OR(O15=0,N15=0),"",O15/N15-1)</f>
        <v>-5.1813471502590858E-3</v>
      </c>
      <c r="S15" s="63">
        <f t="shared" si="2"/>
        <v>-1.041666666666663E-2</v>
      </c>
      <c r="T15" s="64">
        <f t="shared" si="2"/>
        <v>-1.3157894736842146E-2</v>
      </c>
      <c r="V15" s="227">
        <f>+F15+N15</f>
        <v>571.6</v>
      </c>
      <c r="W15" s="228">
        <f t="shared" ref="W15:Y21" si="3">+G15+O15</f>
        <v>577.19999999999993</v>
      </c>
      <c r="X15" s="228">
        <f>X24+20-7.5</f>
        <v>559.197</v>
      </c>
      <c r="Y15" s="229">
        <v>555</v>
      </c>
      <c r="Z15" s="59">
        <f t="shared" ref="Z15:AB21" si="4">IF(OR(W15=0,V15=0),"",W15/V15-1)</f>
        <v>9.7970608817352645E-3</v>
      </c>
      <c r="AA15" s="60">
        <f t="shared" si="4"/>
        <v>-3.1190228690228583E-2</v>
      </c>
      <c r="AB15" s="61">
        <f t="shared" si="4"/>
        <v>-7.5054050719156606E-3</v>
      </c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</row>
    <row r="16" spans="1:39" ht="24.75" customHeight="1" x14ac:dyDescent="0.25">
      <c r="A16" s="224"/>
      <c r="B16" s="224"/>
      <c r="C16" s="230" t="s">
        <v>2</v>
      </c>
      <c r="D16" s="230"/>
      <c r="E16" s="190"/>
      <c r="F16" s="231">
        <v>572</v>
      </c>
      <c r="G16" s="232">
        <v>568.4</v>
      </c>
      <c r="H16" s="232">
        <f>X16-P16</f>
        <v>564</v>
      </c>
      <c r="I16" s="312">
        <f>Y16-Q16</f>
        <v>560</v>
      </c>
      <c r="J16" s="65">
        <f t="shared" si="1"/>
        <v>-6.2937062937062915E-3</v>
      </c>
      <c r="K16" s="66">
        <f t="shared" si="1"/>
        <v>-7.7410274454609018E-3</v>
      </c>
      <c r="L16" s="67">
        <f t="shared" si="1"/>
        <v>-7.0921985815602939E-3</v>
      </c>
      <c r="N16" s="231">
        <v>38.6</v>
      </c>
      <c r="O16" s="232">
        <v>39.6</v>
      </c>
      <c r="P16" s="232">
        <v>39</v>
      </c>
      <c r="Q16" s="312">
        <v>40</v>
      </c>
      <c r="R16" s="65">
        <f t="shared" si="2"/>
        <v>2.5906735751295429E-2</v>
      </c>
      <c r="S16" s="66">
        <f t="shared" si="2"/>
        <v>-1.5151515151515138E-2</v>
      </c>
      <c r="T16" s="67">
        <f t="shared" si="2"/>
        <v>2.564102564102555E-2</v>
      </c>
      <c r="V16" s="233">
        <f t="shared" ref="V16:V21" si="5">+F16+N16</f>
        <v>610.6</v>
      </c>
      <c r="W16" s="234">
        <f t="shared" si="3"/>
        <v>608</v>
      </c>
      <c r="X16" s="234">
        <v>603</v>
      </c>
      <c r="Y16" s="235">
        <v>600</v>
      </c>
      <c r="Z16" s="68">
        <f t="shared" si="4"/>
        <v>-4.2581067802162087E-3</v>
      </c>
      <c r="AA16" s="69">
        <f t="shared" si="4"/>
        <v>-8.2236842105263275E-3</v>
      </c>
      <c r="AB16" s="70">
        <f t="shared" si="4"/>
        <v>-4.9751243781094301E-3</v>
      </c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</row>
    <row r="17" spans="1:39" ht="24.75" customHeight="1" x14ac:dyDescent="0.25">
      <c r="A17" s="224"/>
      <c r="B17" s="224"/>
      <c r="C17" s="236" t="s">
        <v>3</v>
      </c>
      <c r="D17" s="186"/>
      <c r="E17" s="190"/>
      <c r="F17" s="384">
        <f>+F15+F16</f>
        <v>1105</v>
      </c>
      <c r="G17" s="385">
        <f>+G15+G16</f>
        <v>1107.1999999999998</v>
      </c>
      <c r="H17" s="385">
        <f>+H15+H16</f>
        <v>1085.1970000000001</v>
      </c>
      <c r="I17" s="386">
        <f>+I15+I16</f>
        <v>1077.5</v>
      </c>
      <c r="J17" s="68">
        <f t="shared" si="1"/>
        <v>1.9909502262440704E-3</v>
      </c>
      <c r="K17" s="69">
        <f t="shared" si="1"/>
        <v>-1.9872651734103797E-2</v>
      </c>
      <c r="L17" s="70">
        <f t="shared" si="1"/>
        <v>-7.0927214137157524E-3</v>
      </c>
      <c r="M17" s="191">
        <f>+M15+M16</f>
        <v>0</v>
      </c>
      <c r="N17" s="218">
        <f>+N15+N16</f>
        <v>77.2</v>
      </c>
      <c r="O17" s="219">
        <f>+O15+O16</f>
        <v>78</v>
      </c>
      <c r="P17" s="219">
        <f>+P15+P16</f>
        <v>77</v>
      </c>
      <c r="Q17" s="237">
        <f>+Q15+Q16</f>
        <v>77.5</v>
      </c>
      <c r="R17" s="68">
        <f t="shared" si="2"/>
        <v>1.0362694300518172E-2</v>
      </c>
      <c r="S17" s="69">
        <f t="shared" si="2"/>
        <v>-1.2820512820512775E-2</v>
      </c>
      <c r="T17" s="70">
        <f t="shared" si="2"/>
        <v>6.4935064935065512E-3</v>
      </c>
      <c r="U17" s="191"/>
      <c r="V17" s="384">
        <f>+V15+V16</f>
        <v>1182.2</v>
      </c>
      <c r="W17" s="385">
        <f>+W15+W16</f>
        <v>1185.1999999999998</v>
      </c>
      <c r="X17" s="385">
        <f>+X15+X16</f>
        <v>1162.1970000000001</v>
      </c>
      <c r="Y17" s="386">
        <f>+Y15+Y16</f>
        <v>1155</v>
      </c>
      <c r="Z17" s="68">
        <f t="shared" si="4"/>
        <v>2.5376416849938188E-3</v>
      </c>
      <c r="AA17" s="69">
        <f t="shared" si="4"/>
        <v>-1.9408538643266748E-2</v>
      </c>
      <c r="AB17" s="70">
        <f t="shared" si="4"/>
        <v>-6.1925818084198614E-3</v>
      </c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</row>
    <row r="18" spans="1:39" ht="24.75" customHeight="1" x14ac:dyDescent="0.25">
      <c r="A18" s="190"/>
      <c r="B18" s="224"/>
      <c r="C18" s="213" t="s">
        <v>9</v>
      </c>
      <c r="D18" s="238" t="s">
        <v>39</v>
      </c>
      <c r="E18" s="190"/>
      <c r="F18" s="214">
        <v>14</v>
      </c>
      <c r="G18" s="215">
        <v>16</v>
      </c>
      <c r="H18" s="215">
        <v>15</v>
      </c>
      <c r="I18" s="309">
        <v>15</v>
      </c>
      <c r="J18" s="59">
        <f t="shared" si="1"/>
        <v>0.14285714285714279</v>
      </c>
      <c r="K18" s="60">
        <f t="shared" si="1"/>
        <v>-6.25E-2</v>
      </c>
      <c r="L18" s="61">
        <f t="shared" si="1"/>
        <v>0</v>
      </c>
      <c r="N18" s="214">
        <v>3</v>
      </c>
      <c r="O18" s="215">
        <v>3</v>
      </c>
      <c r="P18" s="215">
        <v>3</v>
      </c>
      <c r="Q18" s="309">
        <v>2.5</v>
      </c>
      <c r="R18" s="59">
        <f t="shared" si="2"/>
        <v>0</v>
      </c>
      <c r="S18" s="60">
        <f t="shared" si="2"/>
        <v>0</v>
      </c>
      <c r="T18" s="61">
        <f t="shared" si="2"/>
        <v>-0.16666666666666663</v>
      </c>
      <c r="V18" s="246">
        <f t="shared" si="5"/>
        <v>17</v>
      </c>
      <c r="W18" s="247">
        <f t="shared" si="3"/>
        <v>19</v>
      </c>
      <c r="X18" s="247">
        <f t="shared" si="3"/>
        <v>18</v>
      </c>
      <c r="Y18" s="248">
        <f t="shared" si="3"/>
        <v>17.5</v>
      </c>
      <c r="Z18" s="59">
        <f t="shared" si="4"/>
        <v>0.11764705882352944</v>
      </c>
      <c r="AA18" s="60">
        <f t="shared" si="4"/>
        <v>-5.2631578947368474E-2</v>
      </c>
      <c r="AB18" s="61">
        <f t="shared" si="4"/>
        <v>-2.777777777777779E-2</v>
      </c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</row>
    <row r="19" spans="1:39" ht="24.75" customHeight="1" x14ac:dyDescent="0.25">
      <c r="A19" s="190"/>
      <c r="B19" s="224"/>
      <c r="C19" s="250"/>
      <c r="D19" s="238" t="s">
        <v>40</v>
      </c>
      <c r="E19" s="190"/>
      <c r="F19" s="258">
        <v>0</v>
      </c>
      <c r="G19" s="259">
        <v>0</v>
      </c>
      <c r="H19" s="259">
        <v>0</v>
      </c>
      <c r="I19" s="260">
        <v>0</v>
      </c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258">
        <v>0</v>
      </c>
      <c r="O19" s="259">
        <v>0</v>
      </c>
      <c r="P19" s="259">
        <v>0</v>
      </c>
      <c r="Q19" s="260">
        <v>0</v>
      </c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254">
        <f t="shared" si="5"/>
        <v>0</v>
      </c>
      <c r="W19" s="255">
        <f t="shared" si="3"/>
        <v>0</v>
      </c>
      <c r="X19" s="255">
        <f t="shared" si="3"/>
        <v>0</v>
      </c>
      <c r="Y19" s="256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</row>
    <row r="20" spans="1:39" ht="24.75" customHeight="1" x14ac:dyDescent="0.25">
      <c r="A20" s="190"/>
      <c r="B20" s="224"/>
      <c r="C20" s="213" t="s">
        <v>10</v>
      </c>
      <c r="D20" s="238" t="s">
        <v>39</v>
      </c>
      <c r="E20" s="190"/>
      <c r="F20" s="214">
        <v>33</v>
      </c>
      <c r="G20" s="215">
        <v>40.700000000000003</v>
      </c>
      <c r="H20" s="215">
        <v>41</v>
      </c>
      <c r="I20" s="309">
        <v>42</v>
      </c>
      <c r="J20" s="59">
        <f t="shared" si="1"/>
        <v>0.23333333333333339</v>
      </c>
      <c r="K20" s="60">
        <f t="shared" si="1"/>
        <v>7.3710073710073765E-3</v>
      </c>
      <c r="L20" s="61">
        <f t="shared" si="1"/>
        <v>2.4390243902439046E-2</v>
      </c>
      <c r="N20" s="214">
        <v>24</v>
      </c>
      <c r="O20" s="215">
        <v>25.3</v>
      </c>
      <c r="P20" s="215">
        <v>25</v>
      </c>
      <c r="Q20" s="309">
        <v>24</v>
      </c>
      <c r="R20" s="59">
        <f t="shared" si="2"/>
        <v>5.4166666666666696E-2</v>
      </c>
      <c r="S20" s="60">
        <f t="shared" si="2"/>
        <v>-1.1857707509881465E-2</v>
      </c>
      <c r="T20" s="61">
        <f t="shared" si="2"/>
        <v>-4.0000000000000036E-2</v>
      </c>
      <c r="V20" s="246">
        <f t="shared" si="5"/>
        <v>57</v>
      </c>
      <c r="W20" s="247">
        <f t="shared" si="3"/>
        <v>66</v>
      </c>
      <c r="X20" s="247">
        <f t="shared" si="3"/>
        <v>66</v>
      </c>
      <c r="Y20" s="248">
        <f t="shared" si="3"/>
        <v>66</v>
      </c>
      <c r="Z20" s="59">
        <f t="shared" si="4"/>
        <v>0.15789473684210531</v>
      </c>
      <c r="AA20" s="60">
        <f t="shared" si="4"/>
        <v>0</v>
      </c>
      <c r="AB20" s="61">
        <f t="shared" si="4"/>
        <v>0</v>
      </c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</row>
    <row r="21" spans="1:39" ht="24.75" customHeight="1" x14ac:dyDescent="0.25">
      <c r="A21" s="190"/>
      <c r="B21" s="224"/>
      <c r="C21" s="213"/>
      <c r="D21" s="238" t="s">
        <v>40</v>
      </c>
      <c r="E21" s="190"/>
      <c r="F21" s="258">
        <v>18</v>
      </c>
      <c r="G21" s="259">
        <v>22.4</v>
      </c>
      <c r="H21" s="259">
        <v>23</v>
      </c>
      <c r="I21" s="260">
        <v>25</v>
      </c>
      <c r="J21" s="68">
        <f t="shared" si="1"/>
        <v>0.24444444444444446</v>
      </c>
      <c r="K21" s="69">
        <f t="shared" si="1"/>
        <v>2.6785714285714413E-2</v>
      </c>
      <c r="L21" s="70">
        <f t="shared" si="1"/>
        <v>8.6956521739130377E-2</v>
      </c>
      <c r="N21" s="258">
        <v>0</v>
      </c>
      <c r="O21" s="259">
        <v>0</v>
      </c>
      <c r="P21" s="259">
        <v>0</v>
      </c>
      <c r="Q21" s="260">
        <v>0</v>
      </c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254">
        <f t="shared" si="5"/>
        <v>18</v>
      </c>
      <c r="W21" s="255">
        <f t="shared" si="3"/>
        <v>22.4</v>
      </c>
      <c r="X21" s="255">
        <f t="shared" si="3"/>
        <v>23</v>
      </c>
      <c r="Y21" s="256">
        <f t="shared" si="3"/>
        <v>25</v>
      </c>
      <c r="Z21" s="68">
        <f t="shared" si="4"/>
        <v>0.24444444444444446</v>
      </c>
      <c r="AA21" s="69">
        <f t="shared" si="4"/>
        <v>2.6785714285714413E-2</v>
      </c>
      <c r="AB21" s="70">
        <f t="shared" si="4"/>
        <v>8.6956521739130377E-2</v>
      </c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</row>
    <row r="22" spans="1:39" ht="24.75" customHeight="1" x14ac:dyDescent="0.25">
      <c r="A22" s="192" t="s">
        <v>14</v>
      </c>
      <c r="B22" s="193"/>
      <c r="C22" s="194"/>
      <c r="D22" s="194"/>
      <c r="E22" s="193"/>
      <c r="F22" s="398">
        <f>$F$7</f>
        <v>2015</v>
      </c>
      <c r="G22" s="393">
        <f>+F22+1</f>
        <v>2016</v>
      </c>
      <c r="H22" s="393">
        <f>+G22+1</f>
        <v>2017</v>
      </c>
      <c r="I22" s="395">
        <f>+H22+1</f>
        <v>2018</v>
      </c>
      <c r="J22" s="197"/>
      <c r="K22" s="198" t="s">
        <v>11</v>
      </c>
      <c r="L22" s="199"/>
      <c r="M22" s="221"/>
      <c r="N22" s="398">
        <f>$F$7</f>
        <v>2015</v>
      </c>
      <c r="O22" s="393">
        <f>+N22+1</f>
        <v>2016</v>
      </c>
      <c r="P22" s="393">
        <f>+O22+1</f>
        <v>2017</v>
      </c>
      <c r="Q22" s="395">
        <f>+P22+1</f>
        <v>2018</v>
      </c>
      <c r="R22" s="197"/>
      <c r="S22" s="198" t="s">
        <v>11</v>
      </c>
      <c r="T22" s="199"/>
      <c r="U22" s="221"/>
      <c r="V22" s="398">
        <f>$F$7</f>
        <v>2015</v>
      </c>
      <c r="W22" s="393">
        <f>+V22+1</f>
        <v>2016</v>
      </c>
      <c r="X22" s="393">
        <f>+W22+1</f>
        <v>2017</v>
      </c>
      <c r="Y22" s="395">
        <f>+X22+1</f>
        <v>2018</v>
      </c>
      <c r="Z22" s="197"/>
      <c r="AA22" s="198" t="s">
        <v>11</v>
      </c>
      <c r="AB22" s="199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</row>
    <row r="23" spans="1:39" ht="24.75" customHeight="1" x14ac:dyDescent="0.25">
      <c r="A23" s="204"/>
      <c r="B23" s="193"/>
      <c r="C23" s="194"/>
      <c r="D23" s="223" t="s">
        <v>26</v>
      </c>
      <c r="E23" s="193"/>
      <c r="F23" s="399"/>
      <c r="G23" s="394"/>
      <c r="H23" s="394"/>
      <c r="I23" s="396"/>
      <c r="J23" s="206" t="str">
        <f>G22&amp;"/"&amp;RIGHT(F22,2)</f>
        <v>2016/15</v>
      </c>
      <c r="K23" s="207" t="str">
        <f>H22&amp;"/"&amp;RIGHT(G22,2)</f>
        <v>2017/16</v>
      </c>
      <c r="L23" s="208" t="str">
        <f>I22&amp;"/"&amp;RIGHT(H22,2)</f>
        <v>2018/17</v>
      </c>
      <c r="M23" s="221"/>
      <c r="N23" s="399"/>
      <c r="O23" s="394"/>
      <c r="P23" s="394"/>
      <c r="Q23" s="396"/>
      <c r="R23" s="206" t="str">
        <f>O22&amp;"/"&amp;RIGHT(N22,2)</f>
        <v>2016/15</v>
      </c>
      <c r="S23" s="207" t="str">
        <f>P22&amp;"/"&amp;RIGHT(O22,2)</f>
        <v>2017/16</v>
      </c>
      <c r="T23" s="208" t="str">
        <f>Q22&amp;"/"&amp;RIGHT(P22,2)</f>
        <v>2018/17</v>
      </c>
      <c r="U23" s="221"/>
      <c r="V23" s="399"/>
      <c r="W23" s="394"/>
      <c r="X23" s="394"/>
      <c r="Y23" s="396"/>
      <c r="Z23" s="206" t="str">
        <f>W22&amp;"/"&amp;RIGHT(V22,2)</f>
        <v>2016/15</v>
      </c>
      <c r="AA23" s="207" t="str">
        <f>X22&amp;"/"&amp;RIGHT(W22,2)</f>
        <v>2017/16</v>
      </c>
      <c r="AB23" s="208" t="str">
        <f>Y22&amp;"/"&amp;RIGHT(X22,2)</f>
        <v>2018/17</v>
      </c>
      <c r="AC23" s="186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</row>
    <row r="24" spans="1:39" ht="24.75" customHeight="1" x14ac:dyDescent="0.25">
      <c r="A24" s="224"/>
      <c r="B24" s="224"/>
      <c r="C24" s="186" t="s">
        <v>1</v>
      </c>
      <c r="D24" s="186"/>
      <c r="E24" s="190"/>
      <c r="F24" s="225">
        <v>524</v>
      </c>
      <c r="G24" s="226">
        <v>526.4</v>
      </c>
      <c r="H24" s="226">
        <f>X24-P24</f>
        <v>519.11800000000005</v>
      </c>
      <c r="I24" s="257">
        <f>515</f>
        <v>515</v>
      </c>
      <c r="J24" s="59">
        <f t="shared" ref="J24:L30" si="6">IF(OR(G24=0,F24=0),"",G24/F24-1)</f>
        <v>4.5801526717557106E-3</v>
      </c>
      <c r="K24" s="60">
        <f t="shared" si="6"/>
        <v>-1.3833586626139649E-2</v>
      </c>
      <c r="L24" s="61">
        <f t="shared" si="6"/>
        <v>-7.9326858248028875E-3</v>
      </c>
      <c r="N24" s="225">
        <v>26.6</v>
      </c>
      <c r="O24" s="226">
        <f>24.285+3.285</f>
        <v>27.57</v>
      </c>
      <c r="P24" s="226">
        <f>24.236+3.343</f>
        <v>27.579000000000001</v>
      </c>
      <c r="Q24" s="257">
        <v>28</v>
      </c>
      <c r="R24" s="59">
        <f t="shared" ref="R24:T30" si="7">IF(OR(O24=0,N24=0),"",O24/N24-1)</f>
        <v>3.6466165413533869E-2</v>
      </c>
      <c r="S24" s="60">
        <f t="shared" si="7"/>
        <v>3.2644178454832584E-4</v>
      </c>
      <c r="T24" s="61">
        <f t="shared" si="7"/>
        <v>1.5265238043438822E-2</v>
      </c>
      <c r="V24" s="227">
        <f t="shared" ref="V24:X30" si="8">+F24+N24</f>
        <v>550.6</v>
      </c>
      <c r="W24" s="228">
        <v>559.34400000000005</v>
      </c>
      <c r="X24" s="228">
        <v>546.697</v>
      </c>
      <c r="Y24" s="229">
        <f t="shared" ref="Y24:Y30" si="9">+I24+Q24</f>
        <v>543</v>
      </c>
      <c r="Z24" s="59">
        <f t="shared" ref="Z24:AB30" si="10">IF(OR(W24=0,V24=0),"",W24/V24-1)</f>
        <v>1.5880857246640012E-2</v>
      </c>
      <c r="AA24" s="60">
        <f t="shared" si="10"/>
        <v>-2.2610415057639055E-2</v>
      </c>
      <c r="AB24" s="61">
        <f t="shared" si="10"/>
        <v>-6.7624296456720856E-3</v>
      </c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</row>
    <row r="25" spans="1:39" ht="24.75" customHeight="1" x14ac:dyDescent="0.25">
      <c r="A25" s="224"/>
      <c r="B25" s="224"/>
      <c r="C25" s="230" t="s">
        <v>2</v>
      </c>
      <c r="D25" s="230"/>
      <c r="E25" s="190"/>
      <c r="F25" s="231">
        <v>565</v>
      </c>
      <c r="G25" s="232">
        <v>556</v>
      </c>
      <c r="H25" s="232">
        <f>X25-P25</f>
        <v>554.69995999999981</v>
      </c>
      <c r="I25" s="312">
        <v>551</v>
      </c>
      <c r="J25" s="68">
        <f t="shared" si="6"/>
        <v>-1.5929203539822967E-2</v>
      </c>
      <c r="K25" s="69">
        <f t="shared" si="6"/>
        <v>-2.3382014388492189E-3</v>
      </c>
      <c r="L25" s="70">
        <f t="shared" si="6"/>
        <v>-6.6702005891614569E-3</v>
      </c>
      <c r="N25" s="231">
        <v>26.6</v>
      </c>
      <c r="O25" s="232">
        <v>28.6</v>
      </c>
      <c r="P25" s="232">
        <v>28.5</v>
      </c>
      <c r="Q25" s="312">
        <v>29</v>
      </c>
      <c r="R25" s="68">
        <f t="shared" si="7"/>
        <v>7.5187969924812137E-2</v>
      </c>
      <c r="S25" s="69">
        <f t="shared" si="7"/>
        <v>-3.4965034965035446E-3</v>
      </c>
      <c r="T25" s="70">
        <f t="shared" si="7"/>
        <v>1.7543859649122862E-2</v>
      </c>
      <c r="V25" s="233">
        <f t="shared" si="8"/>
        <v>591.6</v>
      </c>
      <c r="W25" s="234">
        <f>W26-559.344</f>
        <v>595.10199999999986</v>
      </c>
      <c r="X25" s="234">
        <f>W25*0.98</f>
        <v>583.19995999999981</v>
      </c>
      <c r="Y25" s="235">
        <f t="shared" si="9"/>
        <v>580</v>
      </c>
      <c r="Z25" s="68">
        <f t="shared" si="10"/>
        <v>5.9195402298848343E-3</v>
      </c>
      <c r="AA25" s="69">
        <f t="shared" si="10"/>
        <v>-2.0000000000000129E-2</v>
      </c>
      <c r="AB25" s="70">
        <f t="shared" si="10"/>
        <v>-5.4869002391561006E-3</v>
      </c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</row>
    <row r="26" spans="1:39" ht="24.75" customHeight="1" x14ac:dyDescent="0.25">
      <c r="A26" s="224"/>
      <c r="B26" s="224"/>
      <c r="C26" s="236" t="s">
        <v>3</v>
      </c>
      <c r="D26" s="186"/>
      <c r="E26" s="190"/>
      <c r="F26" s="384">
        <v>394</v>
      </c>
      <c r="G26" s="385">
        <f>+G24+G25</f>
        <v>1082.4000000000001</v>
      </c>
      <c r="H26" s="385">
        <f>+H24+H25</f>
        <v>1073.8179599999999</v>
      </c>
      <c r="I26" s="386">
        <f>+I24+I25</f>
        <v>1066</v>
      </c>
      <c r="J26" s="387">
        <f t="shared" si="6"/>
        <v>1.7472081218274114</v>
      </c>
      <c r="K26" s="388">
        <f t="shared" si="6"/>
        <v>-7.9287139689581121E-3</v>
      </c>
      <c r="L26" s="389">
        <f t="shared" si="6"/>
        <v>-7.2805263938776621E-3</v>
      </c>
      <c r="M26" s="390"/>
      <c r="N26" s="384">
        <f>+N24+N25</f>
        <v>53.2</v>
      </c>
      <c r="O26" s="385">
        <f>49.592+6.731</f>
        <v>56.323</v>
      </c>
      <c r="P26" s="385">
        <f>+P24+P25</f>
        <v>56.079000000000001</v>
      </c>
      <c r="Q26" s="386">
        <f>+Q24+Q25</f>
        <v>57</v>
      </c>
      <c r="R26" s="387">
        <f t="shared" si="7"/>
        <v>5.8703007518796868E-2</v>
      </c>
      <c r="S26" s="388">
        <f t="shared" si="7"/>
        <v>-4.3321556025069929E-3</v>
      </c>
      <c r="T26" s="389">
        <f t="shared" si="7"/>
        <v>1.6423260043866739E-2</v>
      </c>
      <c r="U26" s="390"/>
      <c r="V26" s="384">
        <f>+V24+V25</f>
        <v>1142.2</v>
      </c>
      <c r="W26" s="385">
        <v>1154.4459999999999</v>
      </c>
      <c r="X26" s="385">
        <f>+X24+X25</f>
        <v>1129.8969599999998</v>
      </c>
      <c r="Y26" s="386">
        <f>+Y24+Y25</f>
        <v>1123</v>
      </c>
      <c r="Z26" s="68">
        <f t="shared" si="10"/>
        <v>1.0721414813517738E-2</v>
      </c>
      <c r="AA26" s="69">
        <f t="shared" si="10"/>
        <v>-2.1264779816466128E-2</v>
      </c>
      <c r="AB26" s="70">
        <f t="shared" si="10"/>
        <v>-6.1040610287151909E-3</v>
      </c>
      <c r="AD26" s="181"/>
      <c r="AE26" s="181"/>
      <c r="AF26" s="181"/>
      <c r="AG26" s="181"/>
      <c r="AH26" s="181"/>
      <c r="AI26" s="181"/>
      <c r="AJ26" s="181"/>
      <c r="AK26" s="181"/>
      <c r="AL26" s="181"/>
      <c r="AM26" s="181"/>
    </row>
    <row r="27" spans="1:39" ht="24.75" customHeight="1" x14ac:dyDescent="0.25">
      <c r="A27" s="190"/>
      <c r="B27" s="224"/>
      <c r="C27" s="213" t="s">
        <v>4</v>
      </c>
      <c r="D27" s="238" t="s">
        <v>39</v>
      </c>
      <c r="E27" s="190"/>
      <c r="F27" s="214">
        <v>394</v>
      </c>
      <c r="G27" s="215">
        <v>410</v>
      </c>
      <c r="H27" s="215">
        <v>400</v>
      </c>
      <c r="I27" s="309">
        <v>420</v>
      </c>
      <c r="J27" s="59">
        <f t="shared" si="6"/>
        <v>4.0609137055837463E-2</v>
      </c>
      <c r="K27" s="60">
        <f t="shared" si="6"/>
        <v>-2.4390243902439046E-2</v>
      </c>
      <c r="L27" s="61">
        <f t="shared" si="6"/>
        <v>5.0000000000000044E-2</v>
      </c>
      <c r="N27" s="214">
        <v>4</v>
      </c>
      <c r="O27" s="215">
        <v>4.0999999999999996</v>
      </c>
      <c r="P27" s="215">
        <v>4.5</v>
      </c>
      <c r="Q27" s="309">
        <v>4.8</v>
      </c>
      <c r="R27" s="59">
        <f t="shared" si="7"/>
        <v>2.4999999999999911E-2</v>
      </c>
      <c r="S27" s="60">
        <f t="shared" si="7"/>
        <v>9.7560975609756184E-2</v>
      </c>
      <c r="T27" s="61">
        <f t="shared" si="7"/>
        <v>6.6666666666666652E-2</v>
      </c>
      <c r="V27" s="246">
        <f t="shared" si="8"/>
        <v>398</v>
      </c>
      <c r="W27" s="247">
        <f t="shared" si="8"/>
        <v>414.1</v>
      </c>
      <c r="X27" s="247">
        <f t="shared" si="8"/>
        <v>404.5</v>
      </c>
      <c r="Y27" s="248">
        <f t="shared" si="9"/>
        <v>424.8</v>
      </c>
      <c r="Z27" s="59">
        <f t="shared" si="10"/>
        <v>4.0452261306532789E-2</v>
      </c>
      <c r="AA27" s="60">
        <f t="shared" si="10"/>
        <v>-2.3182806085486618E-2</v>
      </c>
      <c r="AB27" s="61">
        <f t="shared" si="10"/>
        <v>5.0185414091471037E-2</v>
      </c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</row>
    <row r="28" spans="1:39" ht="24.75" customHeight="1" x14ac:dyDescent="0.25">
      <c r="A28" s="190"/>
      <c r="B28" s="224"/>
      <c r="C28" s="213"/>
      <c r="D28" s="238" t="s">
        <v>40</v>
      </c>
      <c r="E28" s="190"/>
      <c r="F28" s="258">
        <v>58.9</v>
      </c>
      <c r="G28" s="259">
        <v>61.2</v>
      </c>
      <c r="H28" s="259">
        <v>65</v>
      </c>
      <c r="I28" s="260">
        <v>70</v>
      </c>
      <c r="J28" s="68">
        <f t="shared" si="6"/>
        <v>3.9049235993208864E-2</v>
      </c>
      <c r="K28" s="69">
        <f t="shared" si="6"/>
        <v>6.2091503267973858E-2</v>
      </c>
      <c r="L28" s="70">
        <f t="shared" si="6"/>
        <v>7.6923076923076872E-2</v>
      </c>
      <c r="N28" s="258">
        <v>0</v>
      </c>
      <c r="O28" s="259">
        <v>0</v>
      </c>
      <c r="P28" s="259">
        <v>0</v>
      </c>
      <c r="Q28" s="260">
        <v>0</v>
      </c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254">
        <f t="shared" si="8"/>
        <v>58.9</v>
      </c>
      <c r="W28" s="255">
        <f t="shared" si="8"/>
        <v>61.2</v>
      </c>
      <c r="X28" s="255">
        <f t="shared" si="8"/>
        <v>65</v>
      </c>
      <c r="Y28" s="256">
        <f t="shared" si="9"/>
        <v>70</v>
      </c>
      <c r="Z28" s="68">
        <f t="shared" si="10"/>
        <v>3.9049235993208864E-2</v>
      </c>
      <c r="AA28" s="69">
        <f t="shared" si="10"/>
        <v>6.2091503267973858E-2</v>
      </c>
      <c r="AB28" s="70">
        <f t="shared" si="10"/>
        <v>7.6923076923076872E-2</v>
      </c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</row>
    <row r="29" spans="1:39" ht="24.75" customHeight="1" x14ac:dyDescent="0.25">
      <c r="A29" s="190"/>
      <c r="B29" s="224"/>
      <c r="C29" s="213" t="s">
        <v>5</v>
      </c>
      <c r="D29" s="238" t="s">
        <v>39</v>
      </c>
      <c r="E29" s="190"/>
      <c r="F29" s="214">
        <v>402.8</v>
      </c>
      <c r="G29" s="215">
        <v>386.3</v>
      </c>
      <c r="H29" s="215">
        <v>370</v>
      </c>
      <c r="I29" s="309">
        <v>355</v>
      </c>
      <c r="J29" s="59">
        <f t="shared" si="6"/>
        <v>-4.0963257199602809E-2</v>
      </c>
      <c r="K29" s="60">
        <f t="shared" si="6"/>
        <v>-4.2195185089308862E-2</v>
      </c>
      <c r="L29" s="61">
        <f t="shared" si="6"/>
        <v>-4.0540540540540571E-2</v>
      </c>
      <c r="N29" s="214">
        <v>2</v>
      </c>
      <c r="O29" s="215">
        <v>1.9</v>
      </c>
      <c r="P29" s="215">
        <v>1.5</v>
      </c>
      <c r="Q29" s="309">
        <v>1.3</v>
      </c>
      <c r="R29" s="59">
        <f t="shared" si="7"/>
        <v>-5.0000000000000044E-2</v>
      </c>
      <c r="S29" s="60">
        <f t="shared" si="7"/>
        <v>-0.21052631578947367</v>
      </c>
      <c r="T29" s="61">
        <f t="shared" si="7"/>
        <v>-0.1333333333333333</v>
      </c>
      <c r="V29" s="246">
        <f t="shared" si="8"/>
        <v>404.8</v>
      </c>
      <c r="W29" s="247">
        <f t="shared" si="8"/>
        <v>388.2</v>
      </c>
      <c r="X29" s="247">
        <f t="shared" si="8"/>
        <v>371.5</v>
      </c>
      <c r="Y29" s="248">
        <f t="shared" si="9"/>
        <v>356.3</v>
      </c>
      <c r="Z29" s="59">
        <f t="shared" si="10"/>
        <v>-4.1007905138339962E-2</v>
      </c>
      <c r="AA29" s="60">
        <f t="shared" si="10"/>
        <v>-4.3019062339000436E-2</v>
      </c>
      <c r="AB29" s="61">
        <f t="shared" si="10"/>
        <v>-4.0915208613728105E-2</v>
      </c>
      <c r="AD29" s="181"/>
      <c r="AE29" s="181"/>
      <c r="AF29" s="181"/>
      <c r="AG29" s="181"/>
      <c r="AH29" s="181"/>
      <c r="AI29" s="181"/>
      <c r="AJ29" s="181"/>
      <c r="AK29" s="181"/>
      <c r="AL29" s="181"/>
      <c r="AM29" s="181"/>
    </row>
    <row r="30" spans="1:39" ht="24.75" customHeight="1" x14ac:dyDescent="0.25">
      <c r="A30" s="261"/>
      <c r="B30" s="224"/>
      <c r="C30" s="213"/>
      <c r="D30" s="238" t="s">
        <v>40</v>
      </c>
      <c r="E30" s="190"/>
      <c r="F30" s="258">
        <v>60.2</v>
      </c>
      <c r="G30" s="259">
        <v>57.7</v>
      </c>
      <c r="H30" s="259">
        <v>60</v>
      </c>
      <c r="I30" s="260">
        <v>60</v>
      </c>
      <c r="J30" s="68">
        <f t="shared" si="6"/>
        <v>-4.1528239202657802E-2</v>
      </c>
      <c r="K30" s="69">
        <f t="shared" si="6"/>
        <v>3.9861351819757251E-2</v>
      </c>
      <c r="L30" s="70">
        <f t="shared" si="6"/>
        <v>0</v>
      </c>
      <c r="N30" s="258">
        <v>0</v>
      </c>
      <c r="O30" s="259">
        <v>0</v>
      </c>
      <c r="P30" s="259">
        <v>0</v>
      </c>
      <c r="Q30" s="260">
        <v>0</v>
      </c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254">
        <f t="shared" si="8"/>
        <v>60.2</v>
      </c>
      <c r="W30" s="255">
        <f t="shared" si="8"/>
        <v>57.7</v>
      </c>
      <c r="X30" s="255">
        <f t="shared" si="8"/>
        <v>60</v>
      </c>
      <c r="Y30" s="256">
        <f t="shared" si="9"/>
        <v>60</v>
      </c>
      <c r="Z30" s="65">
        <f t="shared" si="10"/>
        <v>-4.1528239202657802E-2</v>
      </c>
      <c r="AA30" s="66">
        <f t="shared" si="10"/>
        <v>3.9861351819757251E-2</v>
      </c>
      <c r="AB30" s="67">
        <f t="shared" si="10"/>
        <v>0</v>
      </c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</row>
    <row r="31" spans="1:39" ht="24.75" customHeight="1" x14ac:dyDescent="0.25">
      <c r="A31" s="192" t="s">
        <v>17</v>
      </c>
      <c r="B31" s="193"/>
      <c r="C31" s="194"/>
      <c r="D31" s="194"/>
      <c r="E31" s="193"/>
      <c r="F31" s="398">
        <f>$F$7</f>
        <v>2015</v>
      </c>
      <c r="G31" s="393">
        <f>+F31+1</f>
        <v>2016</v>
      </c>
      <c r="H31" s="393">
        <f>+G31+1</f>
        <v>2017</v>
      </c>
      <c r="I31" s="395">
        <f>+H31+1</f>
        <v>2018</v>
      </c>
      <c r="J31" s="197"/>
      <c r="K31" s="198" t="s">
        <v>11</v>
      </c>
      <c r="L31" s="199"/>
      <c r="M31" s="221"/>
      <c r="N31" s="398">
        <f>$F$7</f>
        <v>2015</v>
      </c>
      <c r="O31" s="393">
        <f>+N31+1</f>
        <v>2016</v>
      </c>
      <c r="P31" s="393">
        <f>+O31+1</f>
        <v>2017</v>
      </c>
      <c r="Q31" s="395">
        <f>+P31+1</f>
        <v>2018</v>
      </c>
      <c r="R31" s="197"/>
      <c r="S31" s="198" t="s">
        <v>11</v>
      </c>
      <c r="T31" s="199"/>
      <c r="U31" s="221"/>
      <c r="V31" s="398">
        <f>$F$7</f>
        <v>2015</v>
      </c>
      <c r="W31" s="393">
        <f>+V31+1</f>
        <v>2016</v>
      </c>
      <c r="X31" s="393">
        <f>+W31+1</f>
        <v>2017</v>
      </c>
      <c r="Y31" s="395">
        <f>+X31+1</f>
        <v>2018</v>
      </c>
      <c r="Z31" s="197"/>
      <c r="AA31" s="198" t="s">
        <v>11</v>
      </c>
      <c r="AB31" s="199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</row>
    <row r="32" spans="1:39" ht="24.75" customHeight="1" x14ac:dyDescent="0.25">
      <c r="A32" s="204"/>
      <c r="B32" s="193"/>
      <c r="C32" s="194"/>
      <c r="D32" s="194"/>
      <c r="E32" s="193"/>
      <c r="F32" s="399"/>
      <c r="G32" s="394"/>
      <c r="H32" s="394"/>
      <c r="I32" s="396"/>
      <c r="J32" s="206" t="str">
        <f>G31&amp;"/"&amp;RIGHT(F31,2)</f>
        <v>2016/15</v>
      </c>
      <c r="K32" s="207" t="str">
        <f>H31&amp;"/"&amp;RIGHT(G31,2)</f>
        <v>2017/16</v>
      </c>
      <c r="L32" s="208" t="str">
        <f>I31&amp;"/"&amp;RIGHT(H31,2)</f>
        <v>2018/17</v>
      </c>
      <c r="M32" s="221"/>
      <c r="N32" s="399"/>
      <c r="O32" s="394"/>
      <c r="P32" s="394"/>
      <c r="Q32" s="396"/>
      <c r="R32" s="206" t="str">
        <f>O31&amp;"/"&amp;RIGHT(N31,2)</f>
        <v>2016/15</v>
      </c>
      <c r="S32" s="207" t="str">
        <f>P31&amp;"/"&amp;RIGHT(O31,2)</f>
        <v>2017/16</v>
      </c>
      <c r="T32" s="208" t="str">
        <f>Q31&amp;"/"&amp;RIGHT(P31,2)</f>
        <v>2018/17</v>
      </c>
      <c r="U32" s="221"/>
      <c r="V32" s="399"/>
      <c r="W32" s="394"/>
      <c r="X32" s="394"/>
      <c r="Y32" s="396"/>
      <c r="Z32" s="206" t="str">
        <f>W31&amp;"/"&amp;RIGHT(V31,2)</f>
        <v>2016/15</v>
      </c>
      <c r="AA32" s="207" t="str">
        <f>X31&amp;"/"&amp;RIGHT(W31,2)</f>
        <v>2017/16</v>
      </c>
      <c r="AB32" s="208" t="str">
        <f>Y31&amp;"/"&amp;RIGHT(X31,2)</f>
        <v>2018/17</v>
      </c>
      <c r="AC32" s="190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</row>
    <row r="33" spans="1:39" ht="24.75" customHeight="1" x14ac:dyDescent="0.25">
      <c r="A33" s="224"/>
      <c r="B33" s="190"/>
      <c r="C33" s="186" t="s">
        <v>1</v>
      </c>
      <c r="D33" s="186"/>
      <c r="E33" s="190"/>
      <c r="F33" s="225"/>
      <c r="G33" s="226"/>
      <c r="H33" s="226"/>
      <c r="I33" s="257"/>
      <c r="J33" s="62" t="str">
        <f t="shared" ref="J33:L36" si="11">IF(OR(G33=0,F33=0),"",G33/F33-1)</f>
        <v/>
      </c>
      <c r="K33" s="63" t="str">
        <f t="shared" si="11"/>
        <v/>
      </c>
      <c r="L33" s="64" t="str">
        <f t="shared" si="11"/>
        <v/>
      </c>
      <c r="N33" s="225"/>
      <c r="O33" s="226"/>
      <c r="P33" s="226"/>
      <c r="Q33" s="257"/>
      <c r="R33" s="62" t="str">
        <f t="shared" ref="R33:T36" si="12">IF(OR(O33=0,N33=0),"",O33/N33-1)</f>
        <v/>
      </c>
      <c r="S33" s="63" t="str">
        <f t="shared" si="12"/>
        <v/>
      </c>
      <c r="T33" s="64" t="str">
        <f t="shared" si="12"/>
        <v/>
      </c>
      <c r="V33" s="227">
        <f t="shared" ref="V33:Y34" si="13">+F33+N33</f>
        <v>0</v>
      </c>
      <c r="W33" s="228">
        <f t="shared" si="13"/>
        <v>0</v>
      </c>
      <c r="X33" s="228">
        <f t="shared" si="13"/>
        <v>0</v>
      </c>
      <c r="Y33" s="229">
        <f t="shared" si="13"/>
        <v>0</v>
      </c>
      <c r="Z33" s="62" t="str">
        <f t="shared" ref="Z33:AB36" si="14">IF(OR(W33=0,V33=0),"",W33/V33-1)</f>
        <v/>
      </c>
      <c r="AA33" s="63" t="str">
        <f t="shared" si="14"/>
        <v/>
      </c>
      <c r="AB33" s="64" t="str">
        <f t="shared" si="14"/>
        <v/>
      </c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</row>
    <row r="34" spans="1:39" ht="24.75" customHeight="1" x14ac:dyDescent="0.25">
      <c r="A34" s="224"/>
      <c r="B34" s="190"/>
      <c r="C34" s="230" t="s">
        <v>2</v>
      </c>
      <c r="D34" s="230"/>
      <c r="E34" s="190"/>
      <c r="F34" s="231"/>
      <c r="G34" s="232"/>
      <c r="H34" s="232"/>
      <c r="I34" s="312"/>
      <c r="J34" s="65" t="str">
        <f t="shared" si="11"/>
        <v/>
      </c>
      <c r="K34" s="66" t="str">
        <f t="shared" si="11"/>
        <v/>
      </c>
      <c r="L34" s="67" t="str">
        <f t="shared" si="11"/>
        <v/>
      </c>
      <c r="N34" s="231"/>
      <c r="O34" s="232"/>
      <c r="P34" s="232"/>
      <c r="Q34" s="312"/>
      <c r="R34" s="65" t="str">
        <f t="shared" si="12"/>
        <v/>
      </c>
      <c r="S34" s="66" t="str">
        <f t="shared" si="12"/>
        <v/>
      </c>
      <c r="T34" s="67" t="str">
        <f t="shared" si="12"/>
        <v/>
      </c>
      <c r="V34" s="233">
        <f t="shared" si="13"/>
        <v>0</v>
      </c>
      <c r="W34" s="234">
        <f t="shared" si="13"/>
        <v>0</v>
      </c>
      <c r="X34" s="234">
        <f t="shared" si="13"/>
        <v>0</v>
      </c>
      <c r="Y34" s="235">
        <f t="shared" si="13"/>
        <v>0</v>
      </c>
      <c r="Z34" s="65" t="str">
        <f t="shared" si="14"/>
        <v/>
      </c>
      <c r="AA34" s="66" t="str">
        <f t="shared" si="14"/>
        <v/>
      </c>
      <c r="AB34" s="67" t="str">
        <f t="shared" si="14"/>
        <v/>
      </c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</row>
    <row r="35" spans="1:39" ht="24.75" customHeight="1" x14ac:dyDescent="0.25">
      <c r="A35" s="224"/>
      <c r="B35" s="190"/>
      <c r="C35" s="236" t="s">
        <v>3</v>
      </c>
      <c r="D35" s="186"/>
      <c r="E35" s="190"/>
      <c r="F35" s="218">
        <f>+F33+F34</f>
        <v>0</v>
      </c>
      <c r="G35" s="219">
        <f>+G33+G34</f>
        <v>0</v>
      </c>
      <c r="H35" s="219">
        <f>+H33+H34</f>
        <v>0</v>
      </c>
      <c r="I35" s="237">
        <f>+I33+I34</f>
        <v>0</v>
      </c>
      <c r="J35" s="68" t="str">
        <f t="shared" si="11"/>
        <v/>
      </c>
      <c r="K35" s="69" t="str">
        <f t="shared" si="11"/>
        <v/>
      </c>
      <c r="L35" s="70" t="str">
        <f t="shared" si="11"/>
        <v/>
      </c>
      <c r="M35" s="191"/>
      <c r="N35" s="218">
        <f>+N33+N34</f>
        <v>0</v>
      </c>
      <c r="O35" s="219">
        <f>+O33+O34</f>
        <v>0</v>
      </c>
      <c r="P35" s="219">
        <f>+P33+P34</f>
        <v>0</v>
      </c>
      <c r="Q35" s="237">
        <f>+Q33+Q34</f>
        <v>0</v>
      </c>
      <c r="R35" s="68" t="str">
        <f t="shared" si="12"/>
        <v/>
      </c>
      <c r="S35" s="69" t="str">
        <f t="shared" si="12"/>
        <v/>
      </c>
      <c r="T35" s="70" t="str">
        <f t="shared" si="12"/>
        <v/>
      </c>
      <c r="U35" s="191"/>
      <c r="V35" s="218">
        <v>777</v>
      </c>
      <c r="W35" s="219">
        <v>797</v>
      </c>
      <c r="X35" s="219">
        <v>833</v>
      </c>
      <c r="Y35" s="237">
        <v>851</v>
      </c>
      <c r="Z35" s="68">
        <f t="shared" si="14"/>
        <v>2.5740025740025763E-2</v>
      </c>
      <c r="AA35" s="69">
        <f t="shared" si="14"/>
        <v>4.5169385194479217E-2</v>
      </c>
      <c r="AB35" s="70">
        <f t="shared" si="14"/>
        <v>2.1608643457383003E-2</v>
      </c>
      <c r="AD35" s="181"/>
      <c r="AE35" s="181"/>
      <c r="AF35" s="181"/>
      <c r="AG35" s="181"/>
      <c r="AH35" s="181"/>
      <c r="AI35" s="181"/>
      <c r="AJ35" s="181"/>
      <c r="AK35" s="181"/>
      <c r="AL35" s="181"/>
      <c r="AM35" s="181"/>
    </row>
    <row r="36" spans="1:39" ht="24.75" customHeight="1" x14ac:dyDescent="0.25">
      <c r="A36" s="224"/>
      <c r="C36" s="278" t="s">
        <v>12</v>
      </c>
      <c r="D36" s="52"/>
      <c r="E36" s="11"/>
      <c r="F36" s="258"/>
      <c r="G36" s="259"/>
      <c r="H36" s="259"/>
      <c r="I36" s="260"/>
      <c r="J36" s="68" t="str">
        <f t="shared" si="11"/>
        <v/>
      </c>
      <c r="K36" s="69" t="str">
        <f t="shared" si="11"/>
        <v/>
      </c>
      <c r="L36" s="70" t="str">
        <f t="shared" si="11"/>
        <v/>
      </c>
      <c r="N36" s="258"/>
      <c r="O36" s="259"/>
      <c r="P36" s="259"/>
      <c r="Q36" s="260"/>
      <c r="R36" s="68" t="str">
        <f t="shared" si="12"/>
        <v/>
      </c>
      <c r="S36" s="69" t="str">
        <f t="shared" si="12"/>
        <v/>
      </c>
      <c r="T36" s="70" t="str">
        <f t="shared" si="12"/>
        <v/>
      </c>
      <c r="V36" s="254">
        <v>9.5</v>
      </c>
      <c r="W36" s="255">
        <v>9.6999999999999993</v>
      </c>
      <c r="X36" s="255">
        <v>10.1</v>
      </c>
      <c r="Y36" s="256">
        <v>10.199999999999999</v>
      </c>
      <c r="Z36" s="68">
        <f t="shared" si="14"/>
        <v>2.1052631578947212E-2</v>
      </c>
      <c r="AA36" s="69">
        <f t="shared" si="14"/>
        <v>4.1237113402061931E-2</v>
      </c>
      <c r="AB36" s="70">
        <f t="shared" si="14"/>
        <v>9.9009900990099098E-3</v>
      </c>
      <c r="AC36" s="52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</row>
    <row r="37" spans="1:39" ht="24.75" customHeight="1" x14ac:dyDescent="0.25">
      <c r="A37" s="224"/>
      <c r="B37" s="279"/>
      <c r="C37" s="278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81"/>
      <c r="AE37" s="181"/>
      <c r="AF37" s="181"/>
      <c r="AG37" s="181"/>
      <c r="AH37" s="181"/>
      <c r="AI37" s="181"/>
      <c r="AJ37" s="181"/>
      <c r="AK37" s="181"/>
      <c r="AL37" s="181"/>
      <c r="AM37" s="181"/>
    </row>
    <row r="38" spans="1:39" ht="24.75" customHeight="1" x14ac:dyDescent="0.25">
      <c r="A38" s="192" t="s">
        <v>13</v>
      </c>
      <c r="B38" s="193"/>
      <c r="C38" s="280"/>
      <c r="D38" s="223" t="s">
        <v>27</v>
      </c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</row>
    <row r="39" spans="1:39" ht="24.75" customHeight="1" x14ac:dyDescent="0.25">
      <c r="A39" s="281"/>
      <c r="B39" s="281"/>
      <c r="C39" s="281"/>
      <c r="D39" s="195" t="s">
        <v>41</v>
      </c>
      <c r="E39" s="221"/>
      <c r="F39" s="397" t="s">
        <v>21</v>
      </c>
      <c r="G39" s="397"/>
      <c r="H39" s="397"/>
      <c r="I39" s="397"/>
      <c r="J39" s="397"/>
      <c r="K39" s="397"/>
      <c r="L39" s="397"/>
      <c r="M39" s="221"/>
      <c r="N39" s="397" t="s">
        <v>20</v>
      </c>
      <c r="O39" s="397"/>
      <c r="P39" s="397"/>
      <c r="Q39" s="397"/>
      <c r="R39" s="397"/>
      <c r="S39" s="397"/>
      <c r="T39" s="397"/>
      <c r="U39" s="221"/>
      <c r="V39" s="221"/>
      <c r="W39" s="221"/>
      <c r="X39" s="221"/>
      <c r="Y39" s="221"/>
      <c r="Z39" s="221"/>
      <c r="AA39" s="221"/>
      <c r="AB39" s="221"/>
    </row>
    <row r="40" spans="1:39" ht="24.75" customHeight="1" x14ac:dyDescent="0.25">
      <c r="A40" s="282"/>
      <c r="B40" s="200"/>
      <c r="C40" s="200"/>
      <c r="D40" s="283"/>
      <c r="E40" s="284"/>
      <c r="F40" s="398">
        <f>$F$7</f>
        <v>2015</v>
      </c>
      <c r="G40" s="393">
        <f>+F40+1</f>
        <v>2016</v>
      </c>
      <c r="H40" s="393">
        <f>+G40+1</f>
        <v>2017</v>
      </c>
      <c r="I40" s="395">
        <f>+H40+1</f>
        <v>2018</v>
      </c>
      <c r="J40" s="197"/>
      <c r="K40" s="198" t="s">
        <v>11</v>
      </c>
      <c r="L40" s="199"/>
      <c r="N40" s="398">
        <f>$F$7</f>
        <v>2015</v>
      </c>
      <c r="O40" s="393">
        <f>+N40+1</f>
        <v>2016</v>
      </c>
      <c r="P40" s="393">
        <f>+O40+1</f>
        <v>2017</v>
      </c>
      <c r="Q40" s="395">
        <f>+P40+1</f>
        <v>2018</v>
      </c>
      <c r="R40" s="197"/>
      <c r="S40" s="198" t="s">
        <v>11</v>
      </c>
      <c r="T40" s="199"/>
    </row>
    <row r="41" spans="1:39" ht="24.75" customHeight="1" x14ac:dyDescent="0.25">
      <c r="A41" s="282"/>
      <c r="B41" s="200"/>
      <c r="C41" s="202"/>
      <c r="D41" s="283"/>
      <c r="E41" s="284"/>
      <c r="F41" s="399"/>
      <c r="G41" s="394"/>
      <c r="H41" s="394"/>
      <c r="I41" s="396"/>
      <c r="J41" s="206" t="str">
        <f>G40&amp;"/"&amp;RIGHT(F40,2)</f>
        <v>2016/15</v>
      </c>
      <c r="K41" s="207" t="str">
        <f>H40&amp;"/"&amp;RIGHT(G40,2)</f>
        <v>2017/16</v>
      </c>
      <c r="L41" s="208" t="str">
        <f>I40&amp;"/"&amp;RIGHT(H40,2)</f>
        <v>2018/17</v>
      </c>
      <c r="N41" s="399"/>
      <c r="O41" s="394"/>
      <c r="P41" s="394"/>
      <c r="Q41" s="396"/>
      <c r="R41" s="206" t="str">
        <f>O40&amp;"/"&amp;RIGHT(N40,2)</f>
        <v>2016/15</v>
      </c>
      <c r="S41" s="207" t="str">
        <f>P40&amp;"/"&amp;RIGHT(O40,2)</f>
        <v>2017/16</v>
      </c>
      <c r="T41" s="208" t="str">
        <f>Q40&amp;"/"&amp;RIGHT(P40,2)</f>
        <v>2018/17</v>
      </c>
    </row>
    <row r="42" spans="1:39" ht="24.75" customHeight="1" x14ac:dyDescent="0.25">
      <c r="A42" s="284"/>
      <c r="B42" s="284"/>
      <c r="C42" s="202" t="s">
        <v>35</v>
      </c>
      <c r="D42" s="284"/>
      <c r="E42" s="284"/>
      <c r="F42" s="285">
        <v>385.56</v>
      </c>
      <c r="G42" s="286">
        <v>372.3</v>
      </c>
      <c r="H42" s="286">
        <v>375.36</v>
      </c>
      <c r="I42" s="319">
        <v>395.4</v>
      </c>
      <c r="J42" s="62">
        <f t="shared" ref="J42:L44" si="15">IF(OR(G42=0,F42=0),"",G42/F42-1)</f>
        <v>-3.4391534391534417E-2</v>
      </c>
      <c r="K42" s="63">
        <f t="shared" si="15"/>
        <v>8.2191780821918581E-3</v>
      </c>
      <c r="L42" s="64">
        <f t="shared" si="15"/>
        <v>5.3388746803068932E-2</v>
      </c>
      <c r="N42" s="285">
        <v>468.18</v>
      </c>
      <c r="O42" s="286">
        <v>468.18</v>
      </c>
      <c r="P42" s="286">
        <v>467.16</v>
      </c>
      <c r="Q42" s="319">
        <v>490</v>
      </c>
      <c r="R42" s="62">
        <f t="shared" ref="R42:T44" si="16">IF(OR(O42=0,N42=0),"",O42/N42-1)</f>
        <v>0</v>
      </c>
      <c r="S42" s="63">
        <f t="shared" si="16"/>
        <v>-2.1786492374726851E-3</v>
      </c>
      <c r="T42" s="64">
        <f t="shared" si="16"/>
        <v>4.8891172189399645E-2</v>
      </c>
      <c r="AG42" s="290"/>
      <c r="AJ42" s="190"/>
    </row>
    <row r="43" spans="1:39" ht="24.75" customHeight="1" x14ac:dyDescent="0.25">
      <c r="A43" s="284"/>
      <c r="B43" s="284"/>
      <c r="C43" s="291" t="s">
        <v>36</v>
      </c>
      <c r="D43" s="230"/>
      <c r="E43" s="284"/>
      <c r="F43" s="292">
        <v>385.56</v>
      </c>
      <c r="G43" s="293">
        <v>368.22</v>
      </c>
      <c r="H43" s="293">
        <v>392.7</v>
      </c>
      <c r="I43" s="320">
        <v>395.4</v>
      </c>
      <c r="J43" s="65">
        <f t="shared" si="15"/>
        <v>-4.4973544973544888E-2</v>
      </c>
      <c r="K43" s="66">
        <f t="shared" si="15"/>
        <v>6.6481994459833604E-2</v>
      </c>
      <c r="L43" s="67">
        <f t="shared" si="15"/>
        <v>6.8754774637127536E-3</v>
      </c>
      <c r="N43" s="292">
        <v>475.32</v>
      </c>
      <c r="O43" s="293">
        <v>448.4</v>
      </c>
      <c r="P43" s="293">
        <v>463.08</v>
      </c>
      <c r="Q43" s="320">
        <v>485</v>
      </c>
      <c r="R43" s="65">
        <f t="shared" si="16"/>
        <v>-5.6635529748380042E-2</v>
      </c>
      <c r="S43" s="66">
        <f t="shared" si="16"/>
        <v>3.2738626226583412E-2</v>
      </c>
      <c r="T43" s="67">
        <f t="shared" si="16"/>
        <v>4.7335233652932684E-2</v>
      </c>
      <c r="AJ43" s="297"/>
    </row>
    <row r="44" spans="1:39" ht="24.75" customHeight="1" x14ac:dyDescent="0.25">
      <c r="A44" s="200"/>
      <c r="B44" s="200"/>
      <c r="D44" s="298" t="s">
        <v>37</v>
      </c>
      <c r="E44" s="284"/>
      <c r="F44" s="299">
        <f>(F42+F43)/2</f>
        <v>385.56</v>
      </c>
      <c r="G44" s="300">
        <f>(G42+G43)/2</f>
        <v>370.26</v>
      </c>
      <c r="H44" s="300">
        <f>(H42+H43)/2</f>
        <v>384.03</v>
      </c>
      <c r="I44" s="301">
        <f>(I42+I43)/2</f>
        <v>395.4</v>
      </c>
      <c r="J44" s="68">
        <f t="shared" si="15"/>
        <v>-3.9682539682539764E-2</v>
      </c>
      <c r="K44" s="69">
        <f t="shared" si="15"/>
        <v>3.7190082644628086E-2</v>
      </c>
      <c r="L44" s="70">
        <f t="shared" si="15"/>
        <v>2.9607061948285329E-2</v>
      </c>
      <c r="M44" s="191"/>
      <c r="N44" s="299">
        <f>(N42+N43)/2</f>
        <v>471.75</v>
      </c>
      <c r="O44" s="300">
        <f>(O42+O43)/2</f>
        <v>458.28999999999996</v>
      </c>
      <c r="P44" s="300">
        <f>(P42+P43)/2</f>
        <v>465.12</v>
      </c>
      <c r="Q44" s="301">
        <f>(Q42+Q43)/2</f>
        <v>487.5</v>
      </c>
      <c r="R44" s="68">
        <f t="shared" si="16"/>
        <v>-2.8532061473238057E-2</v>
      </c>
      <c r="S44" s="69">
        <f t="shared" si="16"/>
        <v>1.4903227214209336E-2</v>
      </c>
      <c r="T44" s="70">
        <f t="shared" si="16"/>
        <v>4.8116615067079538E-2</v>
      </c>
      <c r="AJ44" s="297"/>
    </row>
    <row r="45" spans="1:39" ht="24.75" customHeight="1" x14ac:dyDescent="0.25">
      <c r="A45" s="200"/>
      <c r="B45" s="200"/>
      <c r="C45" s="202"/>
      <c r="D45" s="284"/>
      <c r="E45" s="284"/>
      <c r="F45" s="397" t="s">
        <v>19</v>
      </c>
      <c r="G45" s="397"/>
      <c r="H45" s="397"/>
      <c r="I45" s="397"/>
      <c r="J45" s="397"/>
      <c r="K45" s="397"/>
      <c r="L45" s="397"/>
      <c r="M45" s="191"/>
      <c r="N45" s="397" t="s">
        <v>22</v>
      </c>
      <c r="O45" s="397"/>
      <c r="P45" s="397"/>
      <c r="Q45" s="397"/>
      <c r="R45" s="397"/>
      <c r="S45" s="397"/>
      <c r="T45" s="397"/>
      <c r="AJ45" s="297"/>
    </row>
    <row r="46" spans="1:39" ht="24.75" customHeight="1" x14ac:dyDescent="0.25">
      <c r="A46" s="200"/>
      <c r="B46" s="200"/>
      <c r="C46" s="202"/>
      <c r="D46" s="284"/>
      <c r="E46" s="284"/>
      <c r="F46" s="398">
        <f>$F$7</f>
        <v>2015</v>
      </c>
      <c r="G46" s="393">
        <f>+F46+1</f>
        <v>2016</v>
      </c>
      <c r="H46" s="393">
        <f>+G46+1</f>
        <v>2017</v>
      </c>
      <c r="I46" s="395">
        <f>+H46+1</f>
        <v>2018</v>
      </c>
      <c r="J46" s="197"/>
      <c r="K46" s="198" t="s">
        <v>11</v>
      </c>
      <c r="L46" s="199"/>
      <c r="M46" s="191"/>
      <c r="N46" s="398">
        <f>$F$7</f>
        <v>2015</v>
      </c>
      <c r="O46" s="393">
        <f>+N46+1</f>
        <v>2016</v>
      </c>
      <c r="P46" s="393">
        <f>+O46+1</f>
        <v>2017</v>
      </c>
      <c r="Q46" s="395">
        <f>+P46+1</f>
        <v>2018</v>
      </c>
      <c r="R46" s="197"/>
      <c r="S46" s="198" t="s">
        <v>11</v>
      </c>
      <c r="T46" s="199"/>
      <c r="AJ46" s="297"/>
    </row>
    <row r="47" spans="1:39" ht="24.75" customHeight="1" x14ac:dyDescent="0.25">
      <c r="A47" s="200"/>
      <c r="B47" s="200"/>
      <c r="C47" s="284"/>
      <c r="D47" s="200"/>
      <c r="E47" s="284"/>
      <c r="F47" s="399"/>
      <c r="G47" s="394"/>
      <c r="H47" s="394"/>
      <c r="I47" s="396"/>
      <c r="J47" s="206" t="str">
        <f>G46&amp;"/"&amp;RIGHT(F46,2)</f>
        <v>2016/15</v>
      </c>
      <c r="K47" s="207" t="str">
        <f>H46&amp;"/"&amp;RIGHT(G46,2)</f>
        <v>2017/16</v>
      </c>
      <c r="L47" s="208" t="str">
        <f>I46&amp;"/"&amp;RIGHT(H46,2)</f>
        <v>2018/17</v>
      </c>
      <c r="N47" s="399"/>
      <c r="O47" s="394"/>
      <c r="P47" s="394"/>
      <c r="Q47" s="396"/>
      <c r="R47" s="206" t="str">
        <f>O46&amp;"/"&amp;RIGHT(N46,2)</f>
        <v>2016/15</v>
      </c>
      <c r="S47" s="207" t="str">
        <f>P46&amp;"/"&amp;RIGHT(O46,2)</f>
        <v>2017/16</v>
      </c>
      <c r="T47" s="208" t="str">
        <f>Q46&amp;"/"&amp;RIGHT(P46,2)</f>
        <v>2018/17</v>
      </c>
      <c r="AJ47" s="297"/>
    </row>
    <row r="48" spans="1:39" ht="24.75" customHeight="1" x14ac:dyDescent="0.25">
      <c r="A48" s="284"/>
      <c r="B48" s="302"/>
      <c r="C48" s="202" t="s">
        <v>35</v>
      </c>
      <c r="D48" s="284"/>
      <c r="E48" s="284"/>
      <c r="F48" s="285">
        <v>309</v>
      </c>
      <c r="G48" s="286">
        <v>272.3</v>
      </c>
      <c r="H48" s="286">
        <v>294.77999999999997</v>
      </c>
      <c r="I48" s="319">
        <v>310</v>
      </c>
      <c r="J48" s="62">
        <f t="shared" ref="J48:L50" si="17">IF(OR(G48=0,F48=0),"",G48/F48-1)</f>
        <v>-0.11877022653721681</v>
      </c>
      <c r="K48" s="63">
        <f t="shared" si="17"/>
        <v>8.2556004406904027E-2</v>
      </c>
      <c r="L48" s="64">
        <f t="shared" si="17"/>
        <v>5.1631725354501778E-2</v>
      </c>
      <c r="N48" s="285">
        <v>380</v>
      </c>
      <c r="O48" s="286">
        <v>385</v>
      </c>
      <c r="P48" s="286">
        <v>390</v>
      </c>
      <c r="Q48" s="319">
        <v>400</v>
      </c>
      <c r="R48" s="62">
        <f t="shared" ref="R48:T50" si="18">IF(OR(O48=0,N48=0),"",O48/N48-1)</f>
        <v>1.3157894736842035E-2</v>
      </c>
      <c r="S48" s="63">
        <f t="shared" si="18"/>
        <v>1.298701298701288E-2</v>
      </c>
      <c r="T48" s="64">
        <f t="shared" si="18"/>
        <v>2.564102564102555E-2</v>
      </c>
      <c r="AF48" s="303"/>
      <c r="AJ48" s="190"/>
    </row>
    <row r="49" spans="1:36" ht="24.75" customHeight="1" x14ac:dyDescent="0.25">
      <c r="A49" s="200"/>
      <c r="B49" s="200"/>
      <c r="C49" s="291" t="s">
        <v>36</v>
      </c>
      <c r="D49" s="230"/>
      <c r="E49" s="284"/>
      <c r="F49" s="292">
        <v>285.60000000000002</v>
      </c>
      <c r="G49" s="293">
        <v>267.24</v>
      </c>
      <c r="H49" s="293">
        <v>317.22000000000003</v>
      </c>
      <c r="I49" s="320">
        <v>322</v>
      </c>
      <c r="J49" s="65">
        <f t="shared" si="17"/>
        <v>-6.4285714285714279E-2</v>
      </c>
      <c r="K49" s="66">
        <f t="shared" si="17"/>
        <v>0.18702290076335881</v>
      </c>
      <c r="L49" s="67">
        <f t="shared" si="17"/>
        <v>1.5068406783935284E-2</v>
      </c>
      <c r="N49" s="292">
        <v>390</v>
      </c>
      <c r="O49" s="293">
        <v>390</v>
      </c>
      <c r="P49" s="293">
        <v>390</v>
      </c>
      <c r="Q49" s="320">
        <v>410</v>
      </c>
      <c r="R49" s="65">
        <f t="shared" si="18"/>
        <v>0</v>
      </c>
      <c r="S49" s="66">
        <f t="shared" si="18"/>
        <v>0</v>
      </c>
      <c r="T49" s="67">
        <f t="shared" si="18"/>
        <v>5.1282051282051322E-2</v>
      </c>
      <c r="AH49" s="190"/>
      <c r="AJ49" s="190"/>
    </row>
    <row r="50" spans="1:36" ht="24.75" customHeight="1" x14ac:dyDescent="0.25">
      <c r="A50" s="200"/>
      <c r="B50" s="200"/>
      <c r="D50" s="298" t="s">
        <v>37</v>
      </c>
      <c r="E50" s="284"/>
      <c r="F50" s="299">
        <f>(F48+F49)/2</f>
        <v>297.3</v>
      </c>
      <c r="G50" s="300">
        <f>(G48+G49)/2</f>
        <v>269.77</v>
      </c>
      <c r="H50" s="300">
        <f>(H48+H49)/2</f>
        <v>306</v>
      </c>
      <c r="I50" s="301">
        <f>(I48+I49)/2</f>
        <v>316</v>
      </c>
      <c r="J50" s="68">
        <f t="shared" si="17"/>
        <v>-9.2600067272115782E-2</v>
      </c>
      <c r="K50" s="69">
        <f t="shared" si="17"/>
        <v>0.13429958853838464</v>
      </c>
      <c r="L50" s="70">
        <f t="shared" si="17"/>
        <v>3.2679738562091609E-2</v>
      </c>
      <c r="M50" s="191"/>
      <c r="N50" s="299">
        <f>(N48+N49)/2</f>
        <v>385</v>
      </c>
      <c r="O50" s="300">
        <f>(O48+O49)/2</f>
        <v>387.5</v>
      </c>
      <c r="P50" s="300">
        <f>(P48+P49)/2</f>
        <v>390</v>
      </c>
      <c r="Q50" s="301">
        <f>(Q48+Q49)/2</f>
        <v>405</v>
      </c>
      <c r="R50" s="68">
        <f t="shared" si="18"/>
        <v>6.4935064935065512E-3</v>
      </c>
      <c r="S50" s="69">
        <f t="shared" si="18"/>
        <v>6.4516129032257119E-3</v>
      </c>
      <c r="T50" s="70">
        <f t="shared" si="18"/>
        <v>3.8461538461538547E-2</v>
      </c>
      <c r="AH50" s="190"/>
      <c r="AJ50" s="304"/>
    </row>
    <row r="51" spans="1:36" ht="24.75" customHeight="1" x14ac:dyDescent="0.25">
      <c r="A51" s="284"/>
      <c r="B51" s="284"/>
      <c r="C51" s="284"/>
      <c r="D51" s="284"/>
      <c r="E51" s="284"/>
      <c r="AC51" s="186"/>
      <c r="AH51" s="186"/>
      <c r="AI51" s="186"/>
      <c r="AJ51" s="186"/>
    </row>
    <row r="52" spans="1:36" ht="24.75" customHeight="1" x14ac:dyDescent="0.25">
      <c r="A52" s="305"/>
      <c r="B52" s="284"/>
      <c r="C52" s="284"/>
      <c r="D52" s="284"/>
      <c r="E52" s="284"/>
      <c r="V52" s="306"/>
      <c r="W52" s="306"/>
      <c r="X52" s="306"/>
      <c r="Y52" s="306"/>
      <c r="Z52" s="17"/>
      <c r="AA52" s="17"/>
      <c r="AB52" s="17"/>
    </row>
    <row r="53" spans="1:36" ht="24.75" customHeight="1" x14ac:dyDescent="0.25">
      <c r="A53" s="303"/>
      <c r="V53" s="306"/>
      <c r="W53" s="306"/>
      <c r="X53" s="306"/>
      <c r="Y53" s="306"/>
      <c r="Z53" s="17"/>
      <c r="AA53" s="17"/>
      <c r="AB53" s="17"/>
    </row>
    <row r="54" spans="1:36" ht="24.75" customHeight="1" x14ac:dyDescent="0.25">
      <c r="A54" s="303"/>
      <c r="U54" s="191"/>
      <c r="V54" s="306"/>
      <c r="W54" s="306"/>
      <c r="X54" s="306"/>
      <c r="Y54" s="306"/>
      <c r="Z54" s="17"/>
      <c r="AA54" s="17"/>
      <c r="AB54" s="17"/>
    </row>
    <row r="55" spans="1:36" ht="24.75" customHeight="1" x14ac:dyDescent="0.25">
      <c r="A55" s="303"/>
      <c r="U55" s="306"/>
      <c r="V55" s="306"/>
      <c r="W55" s="306"/>
      <c r="X55" s="306"/>
      <c r="Y55" s="306"/>
      <c r="Z55" s="17"/>
      <c r="AA55" s="17"/>
      <c r="AB55" s="17"/>
    </row>
    <row r="56" spans="1:36" ht="24.75" customHeight="1" x14ac:dyDescent="0.25">
      <c r="A56" s="307"/>
      <c r="U56" s="191"/>
      <c r="V56" s="306"/>
      <c r="W56" s="306"/>
      <c r="X56" s="306"/>
      <c r="Y56" s="306"/>
      <c r="Z56" s="17"/>
      <c r="AA56" s="17"/>
      <c r="AB56" s="17"/>
    </row>
    <row r="57" spans="1:36" ht="17.25" customHeight="1" x14ac:dyDescent="0.25">
      <c r="A57" s="190"/>
      <c r="B57" s="190"/>
      <c r="C57" s="190"/>
      <c r="D57" s="190"/>
      <c r="E57" s="190"/>
      <c r="V57" s="306"/>
      <c r="W57" s="306"/>
      <c r="X57" s="306"/>
      <c r="Y57" s="306"/>
      <c r="Z57" s="17"/>
      <c r="AA57" s="17"/>
      <c r="AB57" s="17"/>
    </row>
    <row r="58" spans="1:36" ht="17.25" customHeight="1" x14ac:dyDescent="0.25">
      <c r="A58" s="186"/>
      <c r="B58" s="190"/>
      <c r="C58" s="190"/>
      <c r="D58" s="186"/>
      <c r="E58" s="186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F44:T44 F17:AB17 F26:I26 V33:AB33 V36:Y36 F35:AB35 V34:Y34 V30:Y30 V24:Y25 V29:AB29 V27:Y28 V18:Y21 V15:Y16 U26:Y26 M26:Q26">
    <cfRule type="cellIs" dxfId="91" priority="3" stopIfTrue="1" operator="equal">
      <formula>0</formula>
    </cfRule>
  </conditionalFormatting>
  <conditionalFormatting sqref="N50:T50">
    <cfRule type="cellIs" dxfId="90" priority="2" stopIfTrue="1" operator="equal">
      <formula>0</formula>
    </cfRule>
  </conditionalFormatting>
  <conditionalFormatting sqref="F12:I12">
    <cfRule type="cellIs" dxfId="89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horizont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AM58"/>
  <sheetViews>
    <sheetView showGridLines="0" zoomScale="60" zoomScaleNormal="60" workbookViewId="0">
      <selection activeCell="M5" sqref="M5"/>
    </sheetView>
  </sheetViews>
  <sheetFormatPr defaultRowHeight="15.75" x14ac:dyDescent="0.25"/>
  <cols>
    <col min="1" max="1" width="2.625" style="122" customWidth="1"/>
    <col min="2" max="2" width="18.875" style="122" customWidth="1"/>
    <col min="3" max="3" width="26.625" style="122" customWidth="1"/>
    <col min="4" max="4" width="14.375" style="122" customWidth="1"/>
    <col min="5" max="5" width="3.125" style="122" customWidth="1"/>
    <col min="6" max="9" width="12.375" style="122" customWidth="1"/>
    <col min="10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9" style="122"/>
    <col min="257" max="257" width="2.62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125" style="122" customWidth="1"/>
    <col min="262" max="265" width="12.375" style="122" customWidth="1"/>
    <col min="266" max="268" width="7" style="122" customWidth="1"/>
    <col min="269" max="269" width="3.1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9" style="122"/>
    <col min="513" max="513" width="2.62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125" style="122" customWidth="1"/>
    <col min="518" max="521" width="12.375" style="122" customWidth="1"/>
    <col min="522" max="524" width="7" style="122" customWidth="1"/>
    <col min="525" max="525" width="3.1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9" style="122"/>
    <col min="769" max="769" width="2.62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125" style="122" customWidth="1"/>
    <col min="774" max="777" width="12.375" style="122" customWidth="1"/>
    <col min="778" max="780" width="7" style="122" customWidth="1"/>
    <col min="781" max="781" width="3.1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9" style="122"/>
    <col min="1025" max="1025" width="2.62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125" style="122" customWidth="1"/>
    <col min="1030" max="1033" width="12.375" style="122" customWidth="1"/>
    <col min="1034" max="1036" width="7" style="122" customWidth="1"/>
    <col min="1037" max="1037" width="3.1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9" style="122"/>
    <col min="1281" max="1281" width="2.62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125" style="122" customWidth="1"/>
    <col min="1286" max="1289" width="12.375" style="122" customWidth="1"/>
    <col min="1290" max="1292" width="7" style="122" customWidth="1"/>
    <col min="1293" max="1293" width="3.1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9" style="122"/>
    <col min="1537" max="1537" width="2.62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125" style="122" customWidth="1"/>
    <col min="1542" max="1545" width="12.375" style="122" customWidth="1"/>
    <col min="1546" max="1548" width="7" style="122" customWidth="1"/>
    <col min="1549" max="1549" width="3.1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9" style="122"/>
    <col min="1793" max="1793" width="2.62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125" style="122" customWidth="1"/>
    <col min="1798" max="1801" width="12.375" style="122" customWidth="1"/>
    <col min="1802" max="1804" width="7" style="122" customWidth="1"/>
    <col min="1805" max="1805" width="3.1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9" style="122"/>
    <col min="2049" max="2049" width="2.62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125" style="122" customWidth="1"/>
    <col min="2054" max="2057" width="12.375" style="122" customWidth="1"/>
    <col min="2058" max="2060" width="7" style="122" customWidth="1"/>
    <col min="2061" max="2061" width="3.1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9" style="122"/>
    <col min="2305" max="2305" width="2.62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125" style="122" customWidth="1"/>
    <col min="2310" max="2313" width="12.375" style="122" customWidth="1"/>
    <col min="2314" max="2316" width="7" style="122" customWidth="1"/>
    <col min="2317" max="2317" width="3.1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9" style="122"/>
    <col min="2561" max="2561" width="2.62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125" style="122" customWidth="1"/>
    <col min="2566" max="2569" width="12.375" style="122" customWidth="1"/>
    <col min="2570" max="2572" width="7" style="122" customWidth="1"/>
    <col min="2573" max="2573" width="3.1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9" style="122"/>
    <col min="2817" max="2817" width="2.62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125" style="122" customWidth="1"/>
    <col min="2822" max="2825" width="12.375" style="122" customWidth="1"/>
    <col min="2826" max="2828" width="7" style="122" customWidth="1"/>
    <col min="2829" max="2829" width="3.1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9" style="122"/>
    <col min="3073" max="3073" width="2.62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125" style="122" customWidth="1"/>
    <col min="3078" max="3081" width="12.375" style="122" customWidth="1"/>
    <col min="3082" max="3084" width="7" style="122" customWidth="1"/>
    <col min="3085" max="3085" width="3.1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9" style="122"/>
    <col min="3329" max="3329" width="2.62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125" style="122" customWidth="1"/>
    <col min="3334" max="3337" width="12.375" style="122" customWidth="1"/>
    <col min="3338" max="3340" width="7" style="122" customWidth="1"/>
    <col min="3341" max="3341" width="3.1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9" style="122"/>
    <col min="3585" max="3585" width="2.62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125" style="122" customWidth="1"/>
    <col min="3590" max="3593" width="12.375" style="122" customWidth="1"/>
    <col min="3594" max="3596" width="7" style="122" customWidth="1"/>
    <col min="3597" max="3597" width="3.1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9" style="122"/>
    <col min="3841" max="3841" width="2.62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125" style="122" customWidth="1"/>
    <col min="3846" max="3849" width="12.375" style="122" customWidth="1"/>
    <col min="3850" max="3852" width="7" style="122" customWidth="1"/>
    <col min="3853" max="3853" width="3.1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9" style="122"/>
    <col min="4097" max="4097" width="2.62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125" style="122" customWidth="1"/>
    <col min="4102" max="4105" width="12.375" style="122" customWidth="1"/>
    <col min="4106" max="4108" width="7" style="122" customWidth="1"/>
    <col min="4109" max="4109" width="3.1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9" style="122"/>
    <col min="4353" max="4353" width="2.62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125" style="122" customWidth="1"/>
    <col min="4358" max="4361" width="12.375" style="122" customWidth="1"/>
    <col min="4362" max="4364" width="7" style="122" customWidth="1"/>
    <col min="4365" max="4365" width="3.1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9" style="122"/>
    <col min="4609" max="4609" width="2.62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125" style="122" customWidth="1"/>
    <col min="4614" max="4617" width="12.375" style="122" customWidth="1"/>
    <col min="4618" max="4620" width="7" style="122" customWidth="1"/>
    <col min="4621" max="4621" width="3.1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9" style="122"/>
    <col min="4865" max="4865" width="2.62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125" style="122" customWidth="1"/>
    <col min="4870" max="4873" width="12.375" style="122" customWidth="1"/>
    <col min="4874" max="4876" width="7" style="122" customWidth="1"/>
    <col min="4877" max="4877" width="3.1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9" style="122"/>
    <col min="5121" max="5121" width="2.62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125" style="122" customWidth="1"/>
    <col min="5126" max="5129" width="12.375" style="122" customWidth="1"/>
    <col min="5130" max="5132" width="7" style="122" customWidth="1"/>
    <col min="5133" max="5133" width="3.1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9" style="122"/>
    <col min="5377" max="5377" width="2.62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125" style="122" customWidth="1"/>
    <col min="5382" max="5385" width="12.375" style="122" customWidth="1"/>
    <col min="5386" max="5388" width="7" style="122" customWidth="1"/>
    <col min="5389" max="5389" width="3.1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9" style="122"/>
    <col min="5633" max="5633" width="2.62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125" style="122" customWidth="1"/>
    <col min="5638" max="5641" width="12.375" style="122" customWidth="1"/>
    <col min="5642" max="5644" width="7" style="122" customWidth="1"/>
    <col min="5645" max="5645" width="3.1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9" style="122"/>
    <col min="5889" max="5889" width="2.62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125" style="122" customWidth="1"/>
    <col min="5894" max="5897" width="12.375" style="122" customWidth="1"/>
    <col min="5898" max="5900" width="7" style="122" customWidth="1"/>
    <col min="5901" max="5901" width="3.1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9" style="122"/>
    <col min="6145" max="6145" width="2.62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125" style="122" customWidth="1"/>
    <col min="6150" max="6153" width="12.375" style="122" customWidth="1"/>
    <col min="6154" max="6156" width="7" style="122" customWidth="1"/>
    <col min="6157" max="6157" width="3.1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9" style="122"/>
    <col min="6401" max="6401" width="2.62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125" style="122" customWidth="1"/>
    <col min="6406" max="6409" width="12.375" style="122" customWidth="1"/>
    <col min="6410" max="6412" width="7" style="122" customWidth="1"/>
    <col min="6413" max="6413" width="3.1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9" style="122"/>
    <col min="6657" max="6657" width="2.62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125" style="122" customWidth="1"/>
    <col min="6662" max="6665" width="12.375" style="122" customWidth="1"/>
    <col min="6666" max="6668" width="7" style="122" customWidth="1"/>
    <col min="6669" max="6669" width="3.1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9" style="122"/>
    <col min="6913" max="6913" width="2.62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125" style="122" customWidth="1"/>
    <col min="6918" max="6921" width="12.375" style="122" customWidth="1"/>
    <col min="6922" max="6924" width="7" style="122" customWidth="1"/>
    <col min="6925" max="6925" width="3.1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9" style="122"/>
    <col min="7169" max="7169" width="2.62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125" style="122" customWidth="1"/>
    <col min="7174" max="7177" width="12.375" style="122" customWidth="1"/>
    <col min="7178" max="7180" width="7" style="122" customWidth="1"/>
    <col min="7181" max="7181" width="3.1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9" style="122"/>
    <col min="7425" max="7425" width="2.62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125" style="122" customWidth="1"/>
    <col min="7430" max="7433" width="12.375" style="122" customWidth="1"/>
    <col min="7434" max="7436" width="7" style="122" customWidth="1"/>
    <col min="7437" max="7437" width="3.1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9" style="122"/>
    <col min="7681" max="7681" width="2.62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125" style="122" customWidth="1"/>
    <col min="7686" max="7689" width="12.375" style="122" customWidth="1"/>
    <col min="7690" max="7692" width="7" style="122" customWidth="1"/>
    <col min="7693" max="7693" width="3.1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9" style="122"/>
    <col min="7937" max="7937" width="2.62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125" style="122" customWidth="1"/>
    <col min="7942" max="7945" width="12.375" style="122" customWidth="1"/>
    <col min="7946" max="7948" width="7" style="122" customWidth="1"/>
    <col min="7949" max="7949" width="3.1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9" style="122"/>
    <col min="8193" max="8193" width="2.62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125" style="122" customWidth="1"/>
    <col min="8198" max="8201" width="12.375" style="122" customWidth="1"/>
    <col min="8202" max="8204" width="7" style="122" customWidth="1"/>
    <col min="8205" max="8205" width="3.1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9" style="122"/>
    <col min="8449" max="8449" width="2.62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125" style="122" customWidth="1"/>
    <col min="8454" max="8457" width="12.375" style="122" customWidth="1"/>
    <col min="8458" max="8460" width="7" style="122" customWidth="1"/>
    <col min="8461" max="8461" width="3.1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9" style="122"/>
    <col min="8705" max="8705" width="2.62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125" style="122" customWidth="1"/>
    <col min="8710" max="8713" width="12.375" style="122" customWidth="1"/>
    <col min="8714" max="8716" width="7" style="122" customWidth="1"/>
    <col min="8717" max="8717" width="3.1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9" style="122"/>
    <col min="8961" max="8961" width="2.62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125" style="122" customWidth="1"/>
    <col min="8966" max="8969" width="12.375" style="122" customWidth="1"/>
    <col min="8970" max="8972" width="7" style="122" customWidth="1"/>
    <col min="8973" max="8973" width="3.1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9" style="122"/>
    <col min="9217" max="9217" width="2.62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125" style="122" customWidth="1"/>
    <col min="9222" max="9225" width="12.375" style="122" customWidth="1"/>
    <col min="9226" max="9228" width="7" style="122" customWidth="1"/>
    <col min="9229" max="9229" width="3.1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9" style="122"/>
    <col min="9473" max="9473" width="2.62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125" style="122" customWidth="1"/>
    <col min="9478" max="9481" width="12.375" style="122" customWidth="1"/>
    <col min="9482" max="9484" width="7" style="122" customWidth="1"/>
    <col min="9485" max="9485" width="3.1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9" style="122"/>
    <col min="9729" max="9729" width="2.62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125" style="122" customWidth="1"/>
    <col min="9734" max="9737" width="12.375" style="122" customWidth="1"/>
    <col min="9738" max="9740" width="7" style="122" customWidth="1"/>
    <col min="9741" max="9741" width="3.1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9" style="122"/>
    <col min="9985" max="9985" width="2.62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125" style="122" customWidth="1"/>
    <col min="9990" max="9993" width="12.375" style="122" customWidth="1"/>
    <col min="9994" max="9996" width="7" style="122" customWidth="1"/>
    <col min="9997" max="9997" width="3.1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9" style="122"/>
    <col min="10241" max="10241" width="2.62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125" style="122" customWidth="1"/>
    <col min="10246" max="10249" width="12.375" style="122" customWidth="1"/>
    <col min="10250" max="10252" width="7" style="122" customWidth="1"/>
    <col min="10253" max="10253" width="3.1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9" style="122"/>
    <col min="10497" max="10497" width="2.62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125" style="122" customWidth="1"/>
    <col min="10502" max="10505" width="12.375" style="122" customWidth="1"/>
    <col min="10506" max="10508" width="7" style="122" customWidth="1"/>
    <col min="10509" max="10509" width="3.1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9" style="122"/>
    <col min="10753" max="10753" width="2.62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125" style="122" customWidth="1"/>
    <col min="10758" max="10761" width="12.375" style="122" customWidth="1"/>
    <col min="10762" max="10764" width="7" style="122" customWidth="1"/>
    <col min="10765" max="10765" width="3.1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9" style="122"/>
    <col min="11009" max="11009" width="2.62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125" style="122" customWidth="1"/>
    <col min="11014" max="11017" width="12.375" style="122" customWidth="1"/>
    <col min="11018" max="11020" width="7" style="122" customWidth="1"/>
    <col min="11021" max="11021" width="3.1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9" style="122"/>
    <col min="11265" max="11265" width="2.62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125" style="122" customWidth="1"/>
    <col min="11270" max="11273" width="12.375" style="122" customWidth="1"/>
    <col min="11274" max="11276" width="7" style="122" customWidth="1"/>
    <col min="11277" max="11277" width="3.1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9" style="122"/>
    <col min="11521" max="11521" width="2.62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125" style="122" customWidth="1"/>
    <col min="11526" max="11529" width="12.375" style="122" customWidth="1"/>
    <col min="11530" max="11532" width="7" style="122" customWidth="1"/>
    <col min="11533" max="11533" width="3.1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9" style="122"/>
    <col min="11777" max="11777" width="2.62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125" style="122" customWidth="1"/>
    <col min="11782" max="11785" width="12.375" style="122" customWidth="1"/>
    <col min="11786" max="11788" width="7" style="122" customWidth="1"/>
    <col min="11789" max="11789" width="3.1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9" style="122"/>
    <col min="12033" max="12033" width="2.62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125" style="122" customWidth="1"/>
    <col min="12038" max="12041" width="12.375" style="122" customWidth="1"/>
    <col min="12042" max="12044" width="7" style="122" customWidth="1"/>
    <col min="12045" max="12045" width="3.1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9" style="122"/>
    <col min="12289" max="12289" width="2.62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125" style="122" customWidth="1"/>
    <col min="12294" max="12297" width="12.375" style="122" customWidth="1"/>
    <col min="12298" max="12300" width="7" style="122" customWidth="1"/>
    <col min="12301" max="12301" width="3.1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9" style="122"/>
    <col min="12545" max="12545" width="2.62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125" style="122" customWidth="1"/>
    <col min="12550" max="12553" width="12.375" style="122" customWidth="1"/>
    <col min="12554" max="12556" width="7" style="122" customWidth="1"/>
    <col min="12557" max="12557" width="3.1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9" style="122"/>
    <col min="12801" max="12801" width="2.62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125" style="122" customWidth="1"/>
    <col min="12806" max="12809" width="12.375" style="122" customWidth="1"/>
    <col min="12810" max="12812" width="7" style="122" customWidth="1"/>
    <col min="12813" max="12813" width="3.1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9" style="122"/>
    <col min="13057" max="13057" width="2.62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125" style="122" customWidth="1"/>
    <col min="13062" max="13065" width="12.375" style="122" customWidth="1"/>
    <col min="13066" max="13068" width="7" style="122" customWidth="1"/>
    <col min="13069" max="13069" width="3.1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9" style="122"/>
    <col min="13313" max="13313" width="2.62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125" style="122" customWidth="1"/>
    <col min="13318" max="13321" width="12.375" style="122" customWidth="1"/>
    <col min="13322" max="13324" width="7" style="122" customWidth="1"/>
    <col min="13325" max="13325" width="3.1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9" style="122"/>
    <col min="13569" max="13569" width="2.62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125" style="122" customWidth="1"/>
    <col min="13574" max="13577" width="12.375" style="122" customWidth="1"/>
    <col min="13578" max="13580" width="7" style="122" customWidth="1"/>
    <col min="13581" max="13581" width="3.1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9" style="122"/>
    <col min="13825" max="13825" width="2.62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125" style="122" customWidth="1"/>
    <col min="13830" max="13833" width="12.375" style="122" customWidth="1"/>
    <col min="13834" max="13836" width="7" style="122" customWidth="1"/>
    <col min="13837" max="13837" width="3.1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9" style="122"/>
    <col min="14081" max="14081" width="2.62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125" style="122" customWidth="1"/>
    <col min="14086" max="14089" width="12.375" style="122" customWidth="1"/>
    <col min="14090" max="14092" width="7" style="122" customWidth="1"/>
    <col min="14093" max="14093" width="3.1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9" style="122"/>
    <col min="14337" max="14337" width="2.62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125" style="122" customWidth="1"/>
    <col min="14342" max="14345" width="12.375" style="122" customWidth="1"/>
    <col min="14346" max="14348" width="7" style="122" customWidth="1"/>
    <col min="14349" max="14349" width="3.1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9" style="122"/>
    <col min="14593" max="14593" width="2.62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125" style="122" customWidth="1"/>
    <col min="14598" max="14601" width="12.375" style="122" customWidth="1"/>
    <col min="14602" max="14604" width="7" style="122" customWidth="1"/>
    <col min="14605" max="14605" width="3.1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9" style="122"/>
    <col min="14849" max="14849" width="2.62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125" style="122" customWidth="1"/>
    <col min="14854" max="14857" width="12.375" style="122" customWidth="1"/>
    <col min="14858" max="14860" width="7" style="122" customWidth="1"/>
    <col min="14861" max="14861" width="3.1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9" style="122"/>
    <col min="15105" max="15105" width="2.62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125" style="122" customWidth="1"/>
    <col min="15110" max="15113" width="12.375" style="122" customWidth="1"/>
    <col min="15114" max="15116" width="7" style="122" customWidth="1"/>
    <col min="15117" max="15117" width="3.1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9" style="122"/>
    <col min="15361" max="15361" width="2.62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125" style="122" customWidth="1"/>
    <col min="15366" max="15369" width="12.375" style="122" customWidth="1"/>
    <col min="15370" max="15372" width="7" style="122" customWidth="1"/>
    <col min="15373" max="15373" width="3.1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9" style="122"/>
    <col min="15617" max="15617" width="2.62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125" style="122" customWidth="1"/>
    <col min="15622" max="15625" width="12.375" style="122" customWidth="1"/>
    <col min="15626" max="15628" width="7" style="122" customWidth="1"/>
    <col min="15629" max="15629" width="3.1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9" style="122"/>
    <col min="15873" max="15873" width="2.62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125" style="122" customWidth="1"/>
    <col min="15878" max="15881" width="12.375" style="122" customWidth="1"/>
    <col min="15882" max="15884" width="7" style="122" customWidth="1"/>
    <col min="15885" max="15885" width="3.1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9" style="122"/>
    <col min="16129" max="16129" width="2.62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125" style="122" customWidth="1"/>
    <col min="16134" max="16137" width="12.375" style="122" customWidth="1"/>
    <col min="16138" max="16140" width="7" style="122" customWidth="1"/>
    <col min="16141" max="16141" width="3.1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105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106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323">
        <v>6422.2</v>
      </c>
      <c r="G9" s="323">
        <v>6613.4</v>
      </c>
      <c r="H9" s="324">
        <v>6700</v>
      </c>
      <c r="I9" s="325">
        <v>6800</v>
      </c>
      <c r="J9" s="62">
        <f t="shared" ref="J9:L12" si="0">IF(OR(G9=0,F9=0),"",G9/F9-1)</f>
        <v>2.9771729313942341E-2</v>
      </c>
      <c r="K9" s="63">
        <f t="shared" si="0"/>
        <v>1.3094626062237325E-2</v>
      </c>
      <c r="L9" s="64">
        <f t="shared" si="0"/>
        <v>1.4925373134328401E-2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326">
        <v>1295.8</v>
      </c>
      <c r="G10" s="326">
        <v>1397.9</v>
      </c>
      <c r="H10" s="326">
        <v>1460</v>
      </c>
      <c r="I10" s="327">
        <v>1500</v>
      </c>
      <c r="J10" s="65">
        <f t="shared" si="0"/>
        <v>7.8793023614755375E-2</v>
      </c>
      <c r="K10" s="66">
        <f t="shared" si="0"/>
        <v>4.442377852493018E-2</v>
      </c>
      <c r="L10" s="67">
        <f t="shared" si="0"/>
        <v>2.7397260273972712E-2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326">
        <v>1075.8</v>
      </c>
      <c r="G11" s="326">
        <v>1103.7</v>
      </c>
      <c r="H11" s="326">
        <v>1085</v>
      </c>
      <c r="I11" s="327">
        <v>1070</v>
      </c>
      <c r="J11" s="62">
        <f t="shared" si="0"/>
        <v>2.59341885108757E-2</v>
      </c>
      <c r="K11" s="63">
        <f t="shared" si="0"/>
        <v>-1.6943009875872161E-2</v>
      </c>
      <c r="L11" s="64">
        <f t="shared" si="0"/>
        <v>-1.3824884792626779E-2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328">
        <f>F10+F11</f>
        <v>2371.6</v>
      </c>
      <c r="G12" s="328">
        <f>G10+G11</f>
        <v>2501.6000000000004</v>
      </c>
      <c r="H12" s="328">
        <f>H10+H11</f>
        <v>2545</v>
      </c>
      <c r="I12" s="328">
        <f>I10+I11</f>
        <v>2570</v>
      </c>
      <c r="J12" s="65">
        <f t="shared" si="0"/>
        <v>5.4815314555574535E-2</v>
      </c>
      <c r="K12" s="66">
        <f t="shared" si="0"/>
        <v>1.7348896706107952E-2</v>
      </c>
      <c r="L12" s="67">
        <f t="shared" si="0"/>
        <v>9.8231827111985304E-3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329">
        <v>286.10000000000002</v>
      </c>
      <c r="G15" s="329">
        <v>294.39999999999998</v>
      </c>
      <c r="H15" s="329">
        <v>311</v>
      </c>
      <c r="I15" s="330">
        <v>325</v>
      </c>
      <c r="J15" s="62">
        <f t="shared" ref="J15:L21" si="1">IF(OR(G15=0,F15=0),"",G15/F15-1)</f>
        <v>2.9010835372247357E-2</v>
      </c>
      <c r="K15" s="63">
        <f t="shared" si="1"/>
        <v>5.6385869565217517E-2</v>
      </c>
      <c r="L15" s="64">
        <f t="shared" si="1"/>
        <v>4.5016077170418001E-2</v>
      </c>
      <c r="N15" s="77"/>
      <c r="O15" s="78"/>
      <c r="P15" s="78"/>
      <c r="Q15" s="79"/>
      <c r="R15" s="62" t="str">
        <f t="shared" ref="R15:T21" si="2">IF(OR(O15=0,N15=0),"",O15/N15-1)</f>
        <v/>
      </c>
      <c r="S15" s="63" t="str">
        <f t="shared" si="2"/>
        <v/>
      </c>
      <c r="T15" s="64" t="str">
        <f t="shared" si="2"/>
        <v/>
      </c>
      <c r="V15" s="86">
        <f>+F15+N15</f>
        <v>286.10000000000002</v>
      </c>
      <c r="W15" s="87">
        <f t="shared" ref="W15:Y21" si="3">+G15+O15</f>
        <v>294.39999999999998</v>
      </c>
      <c r="X15" s="87">
        <f t="shared" si="3"/>
        <v>311</v>
      </c>
      <c r="Y15" s="88">
        <f t="shared" si="3"/>
        <v>325</v>
      </c>
      <c r="Z15" s="59">
        <f t="shared" ref="Z15:AB21" si="4">IF(OR(W15=0,V15=0),"",W15/V15-1)</f>
        <v>2.9010835372247357E-2</v>
      </c>
      <c r="AA15" s="60">
        <f t="shared" si="4"/>
        <v>5.6385869565217517E-2</v>
      </c>
      <c r="AB15" s="61">
        <f t="shared" si="4"/>
        <v>4.5016077170418001E-2</v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331">
        <v>305</v>
      </c>
      <c r="G16" s="331">
        <v>315</v>
      </c>
      <c r="H16" s="331">
        <v>332</v>
      </c>
      <c r="I16" s="332">
        <v>339</v>
      </c>
      <c r="J16" s="65">
        <f t="shared" si="1"/>
        <v>3.2786885245901676E-2</v>
      </c>
      <c r="K16" s="66">
        <f t="shared" si="1"/>
        <v>5.3968253968253999E-2</v>
      </c>
      <c r="L16" s="67">
        <f t="shared" si="1"/>
        <v>2.108433734939763E-2</v>
      </c>
      <c r="N16" s="80"/>
      <c r="O16" s="81"/>
      <c r="P16" s="81"/>
      <c r="Q16" s="82"/>
      <c r="R16" s="65" t="str">
        <f t="shared" si="2"/>
        <v/>
      </c>
      <c r="S16" s="66" t="str">
        <f t="shared" si="2"/>
        <v/>
      </c>
      <c r="T16" s="67" t="str">
        <f t="shared" si="2"/>
        <v/>
      </c>
      <c r="V16" s="89">
        <f t="shared" ref="V16:V21" si="5">+F16+N16</f>
        <v>305</v>
      </c>
      <c r="W16" s="90">
        <f t="shared" si="3"/>
        <v>315</v>
      </c>
      <c r="X16" s="90">
        <f t="shared" si="3"/>
        <v>332</v>
      </c>
      <c r="Y16" s="91">
        <f t="shared" si="3"/>
        <v>339</v>
      </c>
      <c r="Z16" s="68">
        <f t="shared" si="4"/>
        <v>3.2786885245901676E-2</v>
      </c>
      <c r="AA16" s="69">
        <f t="shared" si="4"/>
        <v>5.3968253968253999E-2</v>
      </c>
      <c r="AB16" s="70">
        <f t="shared" si="4"/>
        <v>2.108433734939763E-2</v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98">
        <f>+F15+F16</f>
        <v>591.1</v>
      </c>
      <c r="G17" s="99">
        <f>+G15+G16</f>
        <v>609.4</v>
      </c>
      <c r="H17" s="99">
        <f>+H15+H16</f>
        <v>643</v>
      </c>
      <c r="I17" s="100">
        <f>+I15+I16</f>
        <v>664</v>
      </c>
      <c r="J17" s="68">
        <f t="shared" si="1"/>
        <v>3.0959228556927787E-2</v>
      </c>
      <c r="K17" s="69">
        <f t="shared" si="1"/>
        <v>5.5136199540531727E-2</v>
      </c>
      <c r="L17" s="70">
        <f t="shared" si="1"/>
        <v>3.2659409020217689E-2</v>
      </c>
      <c r="M17" s="7">
        <f>+M15+M16</f>
        <v>0</v>
      </c>
      <c r="N17" s="98">
        <f>+N15+N16</f>
        <v>0</v>
      </c>
      <c r="O17" s="99">
        <f>+O15+O16</f>
        <v>0</v>
      </c>
      <c r="P17" s="99">
        <f>+P15+P16</f>
        <v>0</v>
      </c>
      <c r="Q17" s="100">
        <f>+Q15+Q16</f>
        <v>0</v>
      </c>
      <c r="R17" s="68" t="str">
        <f t="shared" si="2"/>
        <v/>
      </c>
      <c r="S17" s="69" t="str">
        <f t="shared" si="2"/>
        <v/>
      </c>
      <c r="T17" s="70" t="str">
        <f t="shared" si="2"/>
        <v/>
      </c>
      <c r="U17" s="7"/>
      <c r="V17" s="98">
        <f>+V15+V16</f>
        <v>591.1</v>
      </c>
      <c r="W17" s="99">
        <f>+W15+W16</f>
        <v>609.4</v>
      </c>
      <c r="X17" s="99">
        <f>+X15+X16</f>
        <v>643</v>
      </c>
      <c r="Y17" s="100">
        <f>+Y15+Y16</f>
        <v>664</v>
      </c>
      <c r="Z17" s="68">
        <f t="shared" si="4"/>
        <v>3.0959228556927787E-2</v>
      </c>
      <c r="AA17" s="69">
        <f t="shared" si="4"/>
        <v>5.5136199540531727E-2</v>
      </c>
      <c r="AB17" s="70">
        <f t="shared" si="4"/>
        <v>3.2659409020217689E-2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>
        <v>30</v>
      </c>
      <c r="C18" s="40" t="s">
        <v>9</v>
      </c>
      <c r="D18" s="120" t="s">
        <v>39</v>
      </c>
      <c r="E18" s="2"/>
      <c r="F18" s="333">
        <v>2</v>
      </c>
      <c r="G18" s="333">
        <v>2</v>
      </c>
      <c r="H18" s="333">
        <v>2</v>
      </c>
      <c r="I18" s="333">
        <v>2</v>
      </c>
      <c r="J18" s="59">
        <f t="shared" si="1"/>
        <v>0</v>
      </c>
      <c r="K18" s="60">
        <f t="shared" si="1"/>
        <v>0</v>
      </c>
      <c r="L18" s="61">
        <f t="shared" si="1"/>
        <v>0</v>
      </c>
      <c r="N18" s="74"/>
      <c r="O18" s="75"/>
      <c r="P18" s="75"/>
      <c r="Q18" s="76"/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92">
        <f t="shared" si="5"/>
        <v>2</v>
      </c>
      <c r="W18" s="93">
        <f t="shared" si="3"/>
        <v>2</v>
      </c>
      <c r="X18" s="93">
        <f t="shared" si="3"/>
        <v>2</v>
      </c>
      <c r="Y18" s="94">
        <f t="shared" si="3"/>
        <v>2</v>
      </c>
      <c r="Z18" s="59">
        <f t="shared" si="4"/>
        <v>0</v>
      </c>
      <c r="AA18" s="60">
        <f t="shared" si="4"/>
        <v>0</v>
      </c>
      <c r="AB18" s="61">
        <f t="shared" si="4"/>
        <v>0</v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334">
        <v>0</v>
      </c>
      <c r="G19" s="334">
        <v>0</v>
      </c>
      <c r="H19" s="334">
        <v>0</v>
      </c>
      <c r="I19" s="334">
        <v>0</v>
      </c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/>
      <c r="O19" s="84"/>
      <c r="P19" s="84"/>
      <c r="Q19" s="85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95">
        <f t="shared" si="5"/>
        <v>0</v>
      </c>
      <c r="W19" s="96">
        <f t="shared" si="3"/>
        <v>0</v>
      </c>
      <c r="X19" s="96">
        <f t="shared" si="3"/>
        <v>0</v>
      </c>
      <c r="Y19" s="97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335">
        <v>24</v>
      </c>
      <c r="G20" s="335">
        <v>17</v>
      </c>
      <c r="H20" s="335">
        <v>24</v>
      </c>
      <c r="I20" s="76">
        <v>27</v>
      </c>
      <c r="J20" s="59">
        <f t="shared" si="1"/>
        <v>-0.29166666666666663</v>
      </c>
      <c r="K20" s="60">
        <f t="shared" si="1"/>
        <v>0.41176470588235303</v>
      </c>
      <c r="L20" s="61">
        <f t="shared" si="1"/>
        <v>0.125</v>
      </c>
      <c r="N20" s="74"/>
      <c r="O20" s="75"/>
      <c r="P20" s="75"/>
      <c r="Q20" s="76"/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92">
        <f t="shared" si="5"/>
        <v>24</v>
      </c>
      <c r="W20" s="93">
        <f t="shared" si="3"/>
        <v>17</v>
      </c>
      <c r="X20" s="93">
        <f t="shared" si="3"/>
        <v>24</v>
      </c>
      <c r="Y20" s="94">
        <f t="shared" si="3"/>
        <v>27</v>
      </c>
      <c r="Z20" s="59">
        <f t="shared" si="4"/>
        <v>-0.29166666666666663</v>
      </c>
      <c r="AA20" s="60">
        <f t="shared" si="4"/>
        <v>0.41176470588235303</v>
      </c>
      <c r="AB20" s="61">
        <f t="shared" si="4"/>
        <v>0.125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336">
        <v>5</v>
      </c>
      <c r="G21" s="336">
        <v>6</v>
      </c>
      <c r="H21" s="336">
        <v>9</v>
      </c>
      <c r="I21" s="85">
        <v>10</v>
      </c>
      <c r="J21" s="68">
        <f t="shared" si="1"/>
        <v>0.19999999999999996</v>
      </c>
      <c r="K21" s="69">
        <f t="shared" si="1"/>
        <v>0.5</v>
      </c>
      <c r="L21" s="70">
        <f t="shared" si="1"/>
        <v>0.11111111111111116</v>
      </c>
      <c r="N21" s="83"/>
      <c r="O21" s="84"/>
      <c r="P21" s="84"/>
      <c r="Q21" s="85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95">
        <f t="shared" si="5"/>
        <v>5</v>
      </c>
      <c r="W21" s="96">
        <f t="shared" si="3"/>
        <v>6</v>
      </c>
      <c r="X21" s="96">
        <f t="shared" si="3"/>
        <v>9</v>
      </c>
      <c r="Y21" s="97">
        <f t="shared" si="3"/>
        <v>10</v>
      </c>
      <c r="Z21" s="68">
        <f t="shared" si="4"/>
        <v>0.19999999999999996</v>
      </c>
      <c r="AA21" s="69">
        <f t="shared" si="4"/>
        <v>0.5</v>
      </c>
      <c r="AB21" s="70">
        <f t="shared" si="4"/>
        <v>0.11111111111111116</v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329">
        <v>274.53699999999998</v>
      </c>
      <c r="G24" s="329">
        <v>284.23099999999999</v>
      </c>
      <c r="H24" s="329">
        <v>296</v>
      </c>
      <c r="I24" s="330">
        <v>305</v>
      </c>
      <c r="J24" s="59">
        <f t="shared" ref="J24:L30" si="6">IF(OR(G24=0,F24=0),"",G24/F24-1)</f>
        <v>3.5310358895157989E-2</v>
      </c>
      <c r="K24" s="60">
        <f t="shared" si="6"/>
        <v>4.140646164563333E-2</v>
      </c>
      <c r="L24" s="61">
        <f t="shared" si="6"/>
        <v>3.0405405405405483E-2</v>
      </c>
      <c r="N24" s="77"/>
      <c r="O24" s="78"/>
      <c r="P24" s="78"/>
      <c r="Q24" s="79"/>
      <c r="R24" s="59" t="str">
        <f t="shared" ref="R24:T30" si="7">IF(OR(O24=0,N24=0),"",O24/N24-1)</f>
        <v/>
      </c>
      <c r="S24" s="60" t="str">
        <f t="shared" si="7"/>
        <v/>
      </c>
      <c r="T24" s="61" t="str">
        <f t="shared" si="7"/>
        <v/>
      </c>
      <c r="V24" s="86">
        <f t="shared" ref="V24:Y30" si="8">+F24+N24</f>
        <v>274.53699999999998</v>
      </c>
      <c r="W24" s="87">
        <f t="shared" si="8"/>
        <v>284.23099999999999</v>
      </c>
      <c r="X24" s="87">
        <f t="shared" si="8"/>
        <v>296</v>
      </c>
      <c r="Y24" s="88">
        <f t="shared" si="8"/>
        <v>305</v>
      </c>
      <c r="Z24" s="59">
        <f t="shared" ref="Z24:AB30" si="9">IF(OR(W24=0,V24=0),"",W24/V24-1)</f>
        <v>3.5310358895157989E-2</v>
      </c>
      <c r="AA24" s="60">
        <f t="shared" si="9"/>
        <v>4.140646164563333E-2</v>
      </c>
      <c r="AB24" s="61">
        <f t="shared" si="9"/>
        <v>3.0405405405405483E-2</v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331">
        <v>289.59500000000003</v>
      </c>
      <c r="G25" s="331">
        <v>304.13</v>
      </c>
      <c r="H25" s="331">
        <v>320</v>
      </c>
      <c r="I25" s="332">
        <v>325</v>
      </c>
      <c r="J25" s="68">
        <f t="shared" si="6"/>
        <v>5.0190783680657436E-2</v>
      </c>
      <c r="K25" s="69">
        <f t="shared" si="6"/>
        <v>5.2181632854371607E-2</v>
      </c>
      <c r="L25" s="70">
        <f t="shared" si="6"/>
        <v>1.5625E-2</v>
      </c>
      <c r="N25" s="80"/>
      <c r="O25" s="81"/>
      <c r="P25" s="81"/>
      <c r="Q25" s="82"/>
      <c r="R25" s="68" t="str">
        <f t="shared" si="7"/>
        <v/>
      </c>
      <c r="S25" s="69" t="str">
        <f t="shared" si="7"/>
        <v/>
      </c>
      <c r="T25" s="70" t="str">
        <f t="shared" si="7"/>
        <v/>
      </c>
      <c r="V25" s="89">
        <f t="shared" si="8"/>
        <v>289.59500000000003</v>
      </c>
      <c r="W25" s="90">
        <f t="shared" si="8"/>
        <v>304.13</v>
      </c>
      <c r="X25" s="90">
        <f t="shared" si="8"/>
        <v>320</v>
      </c>
      <c r="Y25" s="91">
        <f t="shared" si="8"/>
        <v>325</v>
      </c>
      <c r="Z25" s="68">
        <f t="shared" si="9"/>
        <v>5.0190783680657436E-2</v>
      </c>
      <c r="AA25" s="69">
        <f t="shared" si="9"/>
        <v>5.2181632854371607E-2</v>
      </c>
      <c r="AB25" s="70">
        <f t="shared" si="9"/>
        <v>1.5625E-2</v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98">
        <f>+F24+F25</f>
        <v>564.13200000000006</v>
      </c>
      <c r="G26" s="99">
        <f>+G24+G25</f>
        <v>588.36099999999999</v>
      </c>
      <c r="H26" s="99">
        <f>+H24+H25</f>
        <v>616</v>
      </c>
      <c r="I26" s="100">
        <f>+I24+I25</f>
        <v>630</v>
      </c>
      <c r="J26" s="68">
        <f t="shared" si="6"/>
        <v>4.2949167925237175E-2</v>
      </c>
      <c r="K26" s="69">
        <f t="shared" si="6"/>
        <v>4.6976261172987366E-2</v>
      </c>
      <c r="L26" s="70">
        <f t="shared" si="6"/>
        <v>2.2727272727272707E-2</v>
      </c>
      <c r="M26" s="7"/>
      <c r="N26" s="98">
        <f>+N24+N25</f>
        <v>0</v>
      </c>
      <c r="O26" s="99">
        <f>+O24+O25</f>
        <v>0</v>
      </c>
      <c r="P26" s="99">
        <f>+P24+P25</f>
        <v>0</v>
      </c>
      <c r="Q26" s="100">
        <f>+Q24+Q25</f>
        <v>0</v>
      </c>
      <c r="R26" s="68" t="str">
        <f t="shared" si="7"/>
        <v/>
      </c>
      <c r="S26" s="69" t="str">
        <f t="shared" si="7"/>
        <v/>
      </c>
      <c r="T26" s="70" t="str">
        <f t="shared" si="7"/>
        <v/>
      </c>
      <c r="U26" s="7"/>
      <c r="V26" s="98">
        <f>+V24+V25</f>
        <v>564.13200000000006</v>
      </c>
      <c r="W26" s="99">
        <f>+W24+W25</f>
        <v>588.36099999999999</v>
      </c>
      <c r="X26" s="99">
        <f>+X24+X25</f>
        <v>616</v>
      </c>
      <c r="Y26" s="100">
        <f>+Y24+Y25</f>
        <v>630</v>
      </c>
      <c r="Z26" s="68">
        <f t="shared" si="9"/>
        <v>4.2949167925237175E-2</v>
      </c>
      <c r="AA26" s="69">
        <f t="shared" si="9"/>
        <v>4.6976261172987366E-2</v>
      </c>
      <c r="AB26" s="70">
        <f t="shared" si="9"/>
        <v>2.2727272727272707E-2</v>
      </c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337">
        <v>32</v>
      </c>
      <c r="G27" s="338">
        <v>35</v>
      </c>
      <c r="H27" s="338">
        <v>30</v>
      </c>
      <c r="I27" s="338">
        <v>30</v>
      </c>
      <c r="J27" s="59">
        <f t="shared" si="6"/>
        <v>9.375E-2</v>
      </c>
      <c r="K27" s="60">
        <f t="shared" si="6"/>
        <v>-0.1428571428571429</v>
      </c>
      <c r="L27" s="61">
        <f t="shared" si="6"/>
        <v>0</v>
      </c>
      <c r="N27" s="74"/>
      <c r="O27" s="75"/>
      <c r="P27" s="75"/>
      <c r="Q27" s="76"/>
      <c r="R27" s="59" t="str">
        <f t="shared" si="7"/>
        <v/>
      </c>
      <c r="S27" s="60" t="str">
        <f t="shared" si="7"/>
        <v/>
      </c>
      <c r="T27" s="61" t="str">
        <f t="shared" si="7"/>
        <v/>
      </c>
      <c r="V27" s="92">
        <f t="shared" si="8"/>
        <v>32</v>
      </c>
      <c r="W27" s="93">
        <f t="shared" si="8"/>
        <v>35</v>
      </c>
      <c r="X27" s="93">
        <f t="shared" si="8"/>
        <v>30</v>
      </c>
      <c r="Y27" s="94">
        <f t="shared" si="8"/>
        <v>30</v>
      </c>
      <c r="Z27" s="59">
        <f t="shared" si="9"/>
        <v>9.375E-2</v>
      </c>
      <c r="AA27" s="60">
        <f t="shared" si="9"/>
        <v>-0.1428571428571429</v>
      </c>
      <c r="AB27" s="61">
        <f t="shared" si="9"/>
        <v>0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339">
        <v>1</v>
      </c>
      <c r="G28" s="340">
        <v>1</v>
      </c>
      <c r="H28" s="340">
        <v>1</v>
      </c>
      <c r="I28" s="340">
        <v>1</v>
      </c>
      <c r="J28" s="68">
        <f t="shared" si="6"/>
        <v>0</v>
      </c>
      <c r="K28" s="69">
        <f t="shared" si="6"/>
        <v>0</v>
      </c>
      <c r="L28" s="70">
        <f t="shared" si="6"/>
        <v>0</v>
      </c>
      <c r="N28" s="83"/>
      <c r="O28" s="84"/>
      <c r="P28" s="84"/>
      <c r="Q28" s="85"/>
      <c r="R28" s="68" t="str">
        <f t="shared" si="7"/>
        <v/>
      </c>
      <c r="S28" s="69" t="str">
        <f t="shared" si="7"/>
        <v/>
      </c>
      <c r="T28" s="70" t="str">
        <f t="shared" si="7"/>
        <v/>
      </c>
      <c r="V28" s="95">
        <f t="shared" si="8"/>
        <v>1</v>
      </c>
      <c r="W28" s="96">
        <f t="shared" si="8"/>
        <v>1</v>
      </c>
      <c r="X28" s="96">
        <f t="shared" si="8"/>
        <v>1</v>
      </c>
      <c r="Y28" s="97">
        <f t="shared" si="8"/>
        <v>1</v>
      </c>
      <c r="Z28" s="68">
        <f t="shared" si="9"/>
        <v>0</v>
      </c>
      <c r="AA28" s="69">
        <f t="shared" si="9"/>
        <v>0</v>
      </c>
      <c r="AB28" s="70">
        <f t="shared" si="9"/>
        <v>0</v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337">
        <v>492</v>
      </c>
      <c r="G29" s="338">
        <v>510</v>
      </c>
      <c r="H29" s="338">
        <v>525</v>
      </c>
      <c r="I29" s="124">
        <v>535</v>
      </c>
      <c r="J29" s="59">
        <f t="shared" si="6"/>
        <v>3.6585365853658569E-2</v>
      </c>
      <c r="K29" s="60">
        <f t="shared" si="6"/>
        <v>2.9411764705882248E-2</v>
      </c>
      <c r="L29" s="61">
        <f t="shared" si="6"/>
        <v>1.904761904761898E-2</v>
      </c>
      <c r="N29" s="74"/>
      <c r="O29" s="75"/>
      <c r="P29" s="75"/>
      <c r="Q29" s="76"/>
      <c r="R29" s="59" t="str">
        <f t="shared" si="7"/>
        <v/>
      </c>
      <c r="S29" s="60" t="str">
        <f t="shared" si="7"/>
        <v/>
      </c>
      <c r="T29" s="61" t="str">
        <f t="shared" si="7"/>
        <v/>
      </c>
      <c r="V29" s="92">
        <f t="shared" si="8"/>
        <v>492</v>
      </c>
      <c r="W29" s="93">
        <f t="shared" si="8"/>
        <v>510</v>
      </c>
      <c r="X29" s="93">
        <f t="shared" si="8"/>
        <v>525</v>
      </c>
      <c r="Y29" s="94">
        <f t="shared" si="8"/>
        <v>535</v>
      </c>
      <c r="Z29" s="59">
        <f t="shared" si="9"/>
        <v>3.6585365853658569E-2</v>
      </c>
      <c r="AA29" s="60">
        <f t="shared" si="9"/>
        <v>2.9411764705882248E-2</v>
      </c>
      <c r="AB29" s="61">
        <f t="shared" si="9"/>
        <v>1.904761904761898E-2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339">
        <v>18</v>
      </c>
      <c r="G30" s="340">
        <v>25</v>
      </c>
      <c r="H30" s="340">
        <v>30</v>
      </c>
      <c r="I30" s="341">
        <v>34</v>
      </c>
      <c r="J30" s="68">
        <f t="shared" si="6"/>
        <v>0.38888888888888884</v>
      </c>
      <c r="K30" s="69">
        <f t="shared" si="6"/>
        <v>0.19999999999999996</v>
      </c>
      <c r="L30" s="70">
        <f t="shared" si="6"/>
        <v>0.1333333333333333</v>
      </c>
      <c r="N30" s="83"/>
      <c r="O30" s="84"/>
      <c r="P30" s="84"/>
      <c r="Q30" s="85"/>
      <c r="R30" s="68" t="str">
        <f t="shared" si="7"/>
        <v/>
      </c>
      <c r="S30" s="69" t="str">
        <f t="shared" si="7"/>
        <v/>
      </c>
      <c r="T30" s="70" t="str">
        <f t="shared" si="7"/>
        <v/>
      </c>
      <c r="V30" s="95">
        <f t="shared" si="8"/>
        <v>18</v>
      </c>
      <c r="W30" s="96">
        <f t="shared" si="8"/>
        <v>25</v>
      </c>
      <c r="X30" s="96">
        <f t="shared" si="8"/>
        <v>30</v>
      </c>
      <c r="Y30" s="97">
        <f t="shared" si="8"/>
        <v>34</v>
      </c>
      <c r="Z30" s="65">
        <f t="shared" si="9"/>
        <v>0.38888888888888884</v>
      </c>
      <c r="AA30" s="66">
        <f t="shared" si="9"/>
        <v>0.19999999999999996</v>
      </c>
      <c r="AB30" s="67">
        <f t="shared" si="9"/>
        <v>0.1333333333333333</v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77">
        <f>F27+F28</f>
        <v>33</v>
      </c>
      <c r="G33" s="77">
        <f>G27+G28</f>
        <v>36</v>
      </c>
      <c r="H33" s="77">
        <f>H27+H28</f>
        <v>31</v>
      </c>
      <c r="I33" s="77">
        <f>I27+I28</f>
        <v>31</v>
      </c>
      <c r="J33" s="62">
        <f t="shared" ref="J33:L36" si="10">IF(OR(G33=0,F33=0),"",G33/F33-1)</f>
        <v>9.0909090909090828E-2</v>
      </c>
      <c r="K33" s="63">
        <f t="shared" si="10"/>
        <v>-0.13888888888888884</v>
      </c>
      <c r="L33" s="64">
        <f t="shared" si="10"/>
        <v>0</v>
      </c>
      <c r="N33" s="77"/>
      <c r="O33" s="78"/>
      <c r="P33" s="78"/>
      <c r="Q33" s="79"/>
      <c r="R33" s="62" t="str">
        <f t="shared" ref="R33:T36" si="11">IF(OR(O33=0,N33=0),"",O33/N33-1)</f>
        <v/>
      </c>
      <c r="S33" s="63" t="str">
        <f t="shared" si="11"/>
        <v/>
      </c>
      <c r="T33" s="64" t="str">
        <f t="shared" si="11"/>
        <v/>
      </c>
      <c r="V33" s="86">
        <f t="shared" ref="V33:Y34" si="12">+F33+N33</f>
        <v>33</v>
      </c>
      <c r="W33" s="87">
        <f t="shared" si="12"/>
        <v>36</v>
      </c>
      <c r="X33" s="87">
        <f t="shared" si="12"/>
        <v>31</v>
      </c>
      <c r="Y33" s="88">
        <f t="shared" si="12"/>
        <v>31</v>
      </c>
      <c r="Z33" s="62">
        <f t="shared" ref="Z33:AB36" si="13">IF(OR(W33=0,V33=0),"",W33/V33-1)</f>
        <v>9.0909090909090828E-2</v>
      </c>
      <c r="AA33" s="63">
        <f t="shared" si="13"/>
        <v>-0.13888888888888884</v>
      </c>
      <c r="AB33" s="64">
        <f t="shared" si="13"/>
        <v>0</v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80">
        <f>F29+F30</f>
        <v>510</v>
      </c>
      <c r="G34" s="80">
        <f>G29+G30</f>
        <v>535</v>
      </c>
      <c r="H34" s="80">
        <f>H29+H30</f>
        <v>555</v>
      </c>
      <c r="I34" s="80">
        <f>I29+I30</f>
        <v>569</v>
      </c>
      <c r="J34" s="65">
        <f t="shared" si="10"/>
        <v>4.9019607843137303E-2</v>
      </c>
      <c r="K34" s="66">
        <f t="shared" si="10"/>
        <v>3.7383177570093462E-2</v>
      </c>
      <c r="L34" s="67">
        <f t="shared" si="10"/>
        <v>2.522522522522519E-2</v>
      </c>
      <c r="N34" s="80"/>
      <c r="O34" s="81"/>
      <c r="P34" s="81"/>
      <c r="Q34" s="82"/>
      <c r="R34" s="65" t="str">
        <f t="shared" si="11"/>
        <v/>
      </c>
      <c r="S34" s="66" t="str">
        <f t="shared" si="11"/>
        <v/>
      </c>
      <c r="T34" s="67" t="str">
        <f t="shared" si="11"/>
        <v/>
      </c>
      <c r="V34" s="89">
        <f t="shared" si="12"/>
        <v>510</v>
      </c>
      <c r="W34" s="90">
        <f t="shared" si="12"/>
        <v>535</v>
      </c>
      <c r="X34" s="90">
        <f t="shared" si="12"/>
        <v>555</v>
      </c>
      <c r="Y34" s="91">
        <f t="shared" si="12"/>
        <v>569</v>
      </c>
      <c r="Z34" s="65">
        <f t="shared" si="13"/>
        <v>4.9019607843137303E-2</v>
      </c>
      <c r="AA34" s="66">
        <f t="shared" si="13"/>
        <v>3.7383177570093462E-2</v>
      </c>
      <c r="AB34" s="67">
        <f t="shared" si="13"/>
        <v>2.522522522522519E-2</v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339">
        <v>87.13</v>
      </c>
      <c r="G35" s="339">
        <v>89.36099999999999</v>
      </c>
      <c r="H35" s="339">
        <v>92</v>
      </c>
      <c r="I35" s="339">
        <v>92</v>
      </c>
      <c r="J35" s="68">
        <f t="shared" si="10"/>
        <v>2.5605417192700486E-2</v>
      </c>
      <c r="K35" s="69">
        <f t="shared" si="10"/>
        <v>2.9531898703013759E-2</v>
      </c>
      <c r="L35" s="69">
        <f t="shared" si="10"/>
        <v>0</v>
      </c>
      <c r="M35" s="7"/>
      <c r="N35" s="98">
        <f>+N33+N34</f>
        <v>0</v>
      </c>
      <c r="O35" s="99">
        <f>+O33+O34</f>
        <v>0</v>
      </c>
      <c r="P35" s="99">
        <f>+P33+P34</f>
        <v>0</v>
      </c>
      <c r="Q35" s="100">
        <f>+Q33+Q34</f>
        <v>0</v>
      </c>
      <c r="R35" s="68" t="str">
        <f t="shared" si="11"/>
        <v/>
      </c>
      <c r="S35" s="69" t="str">
        <f t="shared" si="11"/>
        <v/>
      </c>
      <c r="T35" s="70" t="str">
        <f t="shared" si="11"/>
        <v/>
      </c>
      <c r="U35" s="7"/>
      <c r="V35" s="98">
        <f>+V33+V34</f>
        <v>543</v>
      </c>
      <c r="W35" s="99">
        <f>+W33+W34</f>
        <v>571</v>
      </c>
      <c r="X35" s="99">
        <f>+X33+X34</f>
        <v>586</v>
      </c>
      <c r="Y35" s="100">
        <f>+Y33+Y34</f>
        <v>600</v>
      </c>
      <c r="Z35" s="68">
        <f t="shared" si="13"/>
        <v>5.1565377532228451E-2</v>
      </c>
      <c r="AA35" s="69">
        <f t="shared" si="13"/>
        <v>2.6269702276707552E-2</v>
      </c>
      <c r="AB35" s="70">
        <f t="shared" si="13"/>
        <v>2.3890784982935065E-2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83">
        <v>18.79</v>
      </c>
      <c r="G36" s="84">
        <v>18.71</v>
      </c>
      <c r="H36" s="84">
        <v>19.16</v>
      </c>
      <c r="I36" s="85">
        <v>18.989999999999998</v>
      </c>
      <c r="J36" s="68">
        <f t="shared" si="10"/>
        <v>-4.2575838211813544E-3</v>
      </c>
      <c r="K36" s="69">
        <f t="shared" si="10"/>
        <v>2.4051309460181747E-2</v>
      </c>
      <c r="L36" s="70">
        <f t="shared" si="10"/>
        <v>-8.872651356993777E-3</v>
      </c>
      <c r="N36" s="83"/>
      <c r="O36" s="84"/>
      <c r="P36" s="84"/>
      <c r="Q36" s="85"/>
      <c r="R36" s="68" t="str">
        <f t="shared" si="11"/>
        <v/>
      </c>
      <c r="S36" s="69" t="str">
        <f t="shared" si="11"/>
        <v/>
      </c>
      <c r="T36" s="70" t="str">
        <f t="shared" si="11"/>
        <v/>
      </c>
      <c r="V36" s="95">
        <f>+F36+N36</f>
        <v>18.79</v>
      </c>
      <c r="W36" s="96">
        <f>+G36+O36</f>
        <v>18.71</v>
      </c>
      <c r="X36" s="96">
        <f>+H36+P36</f>
        <v>19.16</v>
      </c>
      <c r="Y36" s="97">
        <f>+I36+Q36</f>
        <v>18.989999999999998</v>
      </c>
      <c r="Z36" s="68">
        <f t="shared" si="13"/>
        <v>-4.2575838211813544E-3</v>
      </c>
      <c r="AA36" s="69">
        <f t="shared" si="13"/>
        <v>2.4051309460181747E-2</v>
      </c>
      <c r="AB36" s="70">
        <f t="shared" si="13"/>
        <v>-8.872651356993777E-3</v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68" t="str">
        <f>IF(OR(G37=0,F37=0),"",G37/F37-1)</f>
        <v/>
      </c>
      <c r="K37" s="69" t="str">
        <f>IF(OR(H37=0,G37=0),"",H37/G37-1)</f>
        <v/>
      </c>
      <c r="L37" s="70" t="str">
        <f>IF(OR(I37=0,H37=0),"",I37/H37-1)</f>
        <v/>
      </c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342">
        <v>4.0599999999999996</v>
      </c>
      <c r="G42" s="342">
        <v>3.87</v>
      </c>
      <c r="H42" s="342">
        <v>3.86</v>
      </c>
      <c r="I42" s="103">
        <v>3.75</v>
      </c>
      <c r="J42" s="62">
        <f t="shared" ref="J42:L44" si="14">IF(OR(G42=0,F42=0),"",G42/F42-1)</f>
        <v>-4.6798029556650134E-2</v>
      </c>
      <c r="K42" s="63">
        <f t="shared" si="14"/>
        <v>-2.5839793281654533E-3</v>
      </c>
      <c r="L42" s="64">
        <f t="shared" si="14"/>
        <v>-2.8497409326424861E-2</v>
      </c>
      <c r="N42" s="101"/>
      <c r="O42" s="102"/>
      <c r="P42" s="102"/>
      <c r="Q42" s="103"/>
      <c r="R42" s="62" t="str">
        <f t="shared" ref="R42:T44" si="15">IF(OR(O42=0,N42=0),"",O42/N42-1)</f>
        <v/>
      </c>
      <c r="S42" s="63" t="str">
        <f t="shared" si="15"/>
        <v/>
      </c>
      <c r="T42" s="64" t="str">
        <f t="shared" si="15"/>
        <v/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343">
        <v>3.92</v>
      </c>
      <c r="G43" s="343">
        <v>3.68</v>
      </c>
      <c r="H43" s="343">
        <v>3.75</v>
      </c>
      <c r="I43" s="106">
        <v>3.65</v>
      </c>
      <c r="J43" s="65">
        <f t="shared" si="14"/>
        <v>-6.1224489795918324E-2</v>
      </c>
      <c r="K43" s="66">
        <f t="shared" si="14"/>
        <v>1.9021739130434812E-2</v>
      </c>
      <c r="L43" s="67">
        <f t="shared" si="14"/>
        <v>-2.6666666666666727E-2</v>
      </c>
      <c r="N43" s="104"/>
      <c r="O43" s="105"/>
      <c r="P43" s="105"/>
      <c r="Q43" s="106"/>
      <c r="R43" s="65" t="str">
        <f t="shared" si="15"/>
        <v/>
      </c>
      <c r="S43" s="66" t="str">
        <f t="shared" si="15"/>
        <v/>
      </c>
      <c r="T43" s="67" t="str">
        <f t="shared" si="15"/>
        <v/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3.9899999999999998</v>
      </c>
      <c r="G44" s="108">
        <f>(G42+G43)/2</f>
        <v>3.7750000000000004</v>
      </c>
      <c r="H44" s="108">
        <f>(H42+H43)/2</f>
        <v>3.8049999999999997</v>
      </c>
      <c r="I44" s="109">
        <f>(I42+I43)/2</f>
        <v>3.7</v>
      </c>
      <c r="J44" s="68">
        <f t="shared" si="14"/>
        <v>-5.3884711779448424E-2</v>
      </c>
      <c r="K44" s="69">
        <f t="shared" si="14"/>
        <v>7.9470198675495318E-3</v>
      </c>
      <c r="L44" s="70">
        <f t="shared" si="14"/>
        <v>-2.759526938239143E-2</v>
      </c>
      <c r="M44" s="7"/>
      <c r="N44" s="107">
        <f>(N42+N43)/2</f>
        <v>0</v>
      </c>
      <c r="O44" s="108">
        <f>(O42+O43)/2</f>
        <v>0</v>
      </c>
      <c r="P44" s="108">
        <f>(P42+P43)/2</f>
        <v>0</v>
      </c>
      <c r="Q44" s="109">
        <f>(Q42+Q43)/2</f>
        <v>0</v>
      </c>
      <c r="R44" s="68" t="str">
        <f t="shared" si="15"/>
        <v/>
      </c>
      <c r="S44" s="69" t="str">
        <f t="shared" si="15"/>
        <v/>
      </c>
      <c r="T44" s="70" t="str">
        <f t="shared" si="15"/>
        <v/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1">
        <v>3.41</v>
      </c>
      <c r="G48" s="102">
        <v>3.1</v>
      </c>
      <c r="H48" s="102">
        <v>3.15</v>
      </c>
      <c r="I48" s="103">
        <v>2.95</v>
      </c>
      <c r="J48" s="62">
        <f t="shared" ref="J48:L50" si="16">IF(OR(G48=0,F48=0),"",G48/F48-1)</f>
        <v>-9.0909090909090939E-2</v>
      </c>
      <c r="K48" s="63">
        <f t="shared" si="16"/>
        <v>1.6129032258064502E-2</v>
      </c>
      <c r="L48" s="64">
        <f t="shared" si="16"/>
        <v>-6.3492063492063378E-2</v>
      </c>
      <c r="N48" s="101"/>
      <c r="O48" s="102"/>
      <c r="P48" s="102"/>
      <c r="Q48" s="103"/>
      <c r="R48" s="62" t="str">
        <f t="shared" ref="R48:T50" si="17">IF(OR(O48=0,N48=0),"",O48/N48-1)</f>
        <v/>
      </c>
      <c r="S48" s="63" t="str">
        <f t="shared" si="17"/>
        <v/>
      </c>
      <c r="T48" s="64" t="str">
        <f t="shared" si="17"/>
        <v/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4">
        <v>3.32</v>
      </c>
      <c r="G49" s="105">
        <v>2.89</v>
      </c>
      <c r="H49" s="105">
        <v>2.98</v>
      </c>
      <c r="I49" s="106">
        <v>2.85</v>
      </c>
      <c r="J49" s="65">
        <f t="shared" si="16"/>
        <v>-0.12951807228915657</v>
      </c>
      <c r="K49" s="66">
        <f t="shared" si="16"/>
        <v>3.114186851211076E-2</v>
      </c>
      <c r="L49" s="67">
        <f t="shared" si="16"/>
        <v>-4.3624161073825496E-2</v>
      </c>
      <c r="N49" s="104"/>
      <c r="O49" s="105"/>
      <c r="P49" s="105"/>
      <c r="Q49" s="106"/>
      <c r="R49" s="65" t="str">
        <f t="shared" si="17"/>
        <v/>
      </c>
      <c r="S49" s="66" t="str">
        <f t="shared" si="17"/>
        <v/>
      </c>
      <c r="T49" s="67" t="str">
        <f t="shared" si="17"/>
        <v/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f>(F48+F49)/2</f>
        <v>3.3650000000000002</v>
      </c>
      <c r="G50" s="108">
        <f>(G48+G49)/2</f>
        <v>2.9950000000000001</v>
      </c>
      <c r="H50" s="108">
        <f>(H48+H49)/2</f>
        <v>3.0649999999999999</v>
      </c>
      <c r="I50" s="109">
        <f>(I48+I49)/2</f>
        <v>2.9000000000000004</v>
      </c>
      <c r="J50" s="68">
        <f t="shared" si="16"/>
        <v>-0.10995542347696885</v>
      </c>
      <c r="K50" s="69">
        <f t="shared" si="16"/>
        <v>2.3372287145241977E-2</v>
      </c>
      <c r="L50" s="70">
        <f t="shared" si="16"/>
        <v>-5.3833605220228287E-2</v>
      </c>
      <c r="M50" s="7"/>
      <c r="N50" s="107">
        <f>(N48+N49)/2</f>
        <v>0</v>
      </c>
      <c r="O50" s="108">
        <f>(O48+O49)/2</f>
        <v>0</v>
      </c>
      <c r="P50" s="108">
        <f>(P48+P49)/2</f>
        <v>0</v>
      </c>
      <c r="Q50" s="109">
        <f>(Q48+Q49)/2</f>
        <v>0</v>
      </c>
      <c r="R50" s="68" t="str">
        <f t="shared" si="17"/>
        <v/>
      </c>
      <c r="S50" s="69" t="str">
        <f t="shared" si="17"/>
        <v/>
      </c>
      <c r="T50" s="70" t="str">
        <f t="shared" si="17"/>
        <v/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F44:T44 F17:AB17 F26:I26 V33:AB33 V36:Y36 V34:Y34 V30:Y30 V24:Y25 V29:AB29 V27:Y28 V18:Y21 V15:Y16 U26:Y26 M26:Q26 J35:AB35">
    <cfRule type="cellIs" dxfId="88" priority="3" stopIfTrue="1" operator="equal">
      <formula>0</formula>
    </cfRule>
  </conditionalFormatting>
  <conditionalFormatting sqref="N50:T50">
    <cfRule type="cellIs" dxfId="87" priority="2" stopIfTrue="1" operator="equal">
      <formula>0</formula>
    </cfRule>
  </conditionalFormatting>
  <conditionalFormatting sqref="J37:L37">
    <cfRule type="cellIs" dxfId="86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M58"/>
  <sheetViews>
    <sheetView showGridLines="0" zoomScale="60" zoomScaleNormal="60" workbookViewId="0">
      <selection activeCell="M5" sqref="M5"/>
    </sheetView>
  </sheetViews>
  <sheetFormatPr defaultRowHeight="15.75" x14ac:dyDescent="0.25"/>
  <cols>
    <col min="1" max="1" width="2.625" style="122" customWidth="1"/>
    <col min="2" max="2" width="18.875" style="122" customWidth="1"/>
    <col min="3" max="3" width="26.625" style="122" customWidth="1"/>
    <col min="4" max="4" width="14.375" style="122" customWidth="1"/>
    <col min="5" max="5" width="3.125" style="122" customWidth="1"/>
    <col min="6" max="9" width="12.375" style="122" customWidth="1"/>
    <col min="10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11" style="122" customWidth="1"/>
    <col min="257" max="257" width="2.62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125" style="122" customWidth="1"/>
    <col min="262" max="265" width="12.375" style="122" customWidth="1"/>
    <col min="266" max="268" width="7" style="122" customWidth="1"/>
    <col min="269" max="269" width="3.1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11" style="122" customWidth="1"/>
    <col min="513" max="513" width="2.62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125" style="122" customWidth="1"/>
    <col min="518" max="521" width="12.375" style="122" customWidth="1"/>
    <col min="522" max="524" width="7" style="122" customWidth="1"/>
    <col min="525" max="525" width="3.1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11" style="122" customWidth="1"/>
    <col min="769" max="769" width="2.62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125" style="122" customWidth="1"/>
    <col min="774" max="777" width="12.375" style="122" customWidth="1"/>
    <col min="778" max="780" width="7" style="122" customWidth="1"/>
    <col min="781" max="781" width="3.1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11" style="122" customWidth="1"/>
    <col min="1025" max="1025" width="2.62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125" style="122" customWidth="1"/>
    <col min="1030" max="1033" width="12.375" style="122" customWidth="1"/>
    <col min="1034" max="1036" width="7" style="122" customWidth="1"/>
    <col min="1037" max="1037" width="3.1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11" style="122" customWidth="1"/>
    <col min="1281" max="1281" width="2.62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125" style="122" customWidth="1"/>
    <col min="1286" max="1289" width="12.375" style="122" customWidth="1"/>
    <col min="1290" max="1292" width="7" style="122" customWidth="1"/>
    <col min="1293" max="1293" width="3.1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11" style="122" customWidth="1"/>
    <col min="1537" max="1537" width="2.62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125" style="122" customWidth="1"/>
    <col min="1542" max="1545" width="12.375" style="122" customWidth="1"/>
    <col min="1546" max="1548" width="7" style="122" customWidth="1"/>
    <col min="1549" max="1549" width="3.1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11" style="122" customWidth="1"/>
    <col min="1793" max="1793" width="2.62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125" style="122" customWidth="1"/>
    <col min="1798" max="1801" width="12.375" style="122" customWidth="1"/>
    <col min="1802" max="1804" width="7" style="122" customWidth="1"/>
    <col min="1805" max="1805" width="3.1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11" style="122" customWidth="1"/>
    <col min="2049" max="2049" width="2.62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125" style="122" customWidth="1"/>
    <col min="2054" max="2057" width="12.375" style="122" customWidth="1"/>
    <col min="2058" max="2060" width="7" style="122" customWidth="1"/>
    <col min="2061" max="2061" width="3.1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11" style="122" customWidth="1"/>
    <col min="2305" max="2305" width="2.62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125" style="122" customWidth="1"/>
    <col min="2310" max="2313" width="12.375" style="122" customWidth="1"/>
    <col min="2314" max="2316" width="7" style="122" customWidth="1"/>
    <col min="2317" max="2317" width="3.1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11" style="122" customWidth="1"/>
    <col min="2561" max="2561" width="2.62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125" style="122" customWidth="1"/>
    <col min="2566" max="2569" width="12.375" style="122" customWidth="1"/>
    <col min="2570" max="2572" width="7" style="122" customWidth="1"/>
    <col min="2573" max="2573" width="3.1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11" style="122" customWidth="1"/>
    <col min="2817" max="2817" width="2.62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125" style="122" customWidth="1"/>
    <col min="2822" max="2825" width="12.375" style="122" customWidth="1"/>
    <col min="2826" max="2828" width="7" style="122" customWidth="1"/>
    <col min="2829" max="2829" width="3.1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11" style="122" customWidth="1"/>
    <col min="3073" max="3073" width="2.62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125" style="122" customWidth="1"/>
    <col min="3078" max="3081" width="12.375" style="122" customWidth="1"/>
    <col min="3082" max="3084" width="7" style="122" customWidth="1"/>
    <col min="3085" max="3085" width="3.1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11" style="122" customWidth="1"/>
    <col min="3329" max="3329" width="2.62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125" style="122" customWidth="1"/>
    <col min="3334" max="3337" width="12.375" style="122" customWidth="1"/>
    <col min="3338" max="3340" width="7" style="122" customWidth="1"/>
    <col min="3341" max="3341" width="3.1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11" style="122" customWidth="1"/>
    <col min="3585" max="3585" width="2.62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125" style="122" customWidth="1"/>
    <col min="3590" max="3593" width="12.375" style="122" customWidth="1"/>
    <col min="3594" max="3596" width="7" style="122" customWidth="1"/>
    <col min="3597" max="3597" width="3.1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11" style="122" customWidth="1"/>
    <col min="3841" max="3841" width="2.62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125" style="122" customWidth="1"/>
    <col min="3846" max="3849" width="12.375" style="122" customWidth="1"/>
    <col min="3850" max="3852" width="7" style="122" customWidth="1"/>
    <col min="3853" max="3853" width="3.1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11" style="122" customWidth="1"/>
    <col min="4097" max="4097" width="2.62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125" style="122" customWidth="1"/>
    <col min="4102" max="4105" width="12.375" style="122" customWidth="1"/>
    <col min="4106" max="4108" width="7" style="122" customWidth="1"/>
    <col min="4109" max="4109" width="3.1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11" style="122" customWidth="1"/>
    <col min="4353" max="4353" width="2.62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125" style="122" customWidth="1"/>
    <col min="4358" max="4361" width="12.375" style="122" customWidth="1"/>
    <col min="4362" max="4364" width="7" style="122" customWidth="1"/>
    <col min="4365" max="4365" width="3.1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11" style="122" customWidth="1"/>
    <col min="4609" max="4609" width="2.62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125" style="122" customWidth="1"/>
    <col min="4614" max="4617" width="12.375" style="122" customWidth="1"/>
    <col min="4618" max="4620" width="7" style="122" customWidth="1"/>
    <col min="4621" max="4621" width="3.1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11" style="122" customWidth="1"/>
    <col min="4865" max="4865" width="2.62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125" style="122" customWidth="1"/>
    <col min="4870" max="4873" width="12.375" style="122" customWidth="1"/>
    <col min="4874" max="4876" width="7" style="122" customWidth="1"/>
    <col min="4877" max="4877" width="3.1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11" style="122" customWidth="1"/>
    <col min="5121" max="5121" width="2.62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125" style="122" customWidth="1"/>
    <col min="5126" max="5129" width="12.375" style="122" customWidth="1"/>
    <col min="5130" max="5132" width="7" style="122" customWidth="1"/>
    <col min="5133" max="5133" width="3.1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11" style="122" customWidth="1"/>
    <col min="5377" max="5377" width="2.62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125" style="122" customWidth="1"/>
    <col min="5382" max="5385" width="12.375" style="122" customWidth="1"/>
    <col min="5386" max="5388" width="7" style="122" customWidth="1"/>
    <col min="5389" max="5389" width="3.1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11" style="122" customWidth="1"/>
    <col min="5633" max="5633" width="2.62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125" style="122" customWidth="1"/>
    <col min="5638" max="5641" width="12.375" style="122" customWidth="1"/>
    <col min="5642" max="5644" width="7" style="122" customWidth="1"/>
    <col min="5645" max="5645" width="3.1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11" style="122" customWidth="1"/>
    <col min="5889" max="5889" width="2.62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125" style="122" customWidth="1"/>
    <col min="5894" max="5897" width="12.375" style="122" customWidth="1"/>
    <col min="5898" max="5900" width="7" style="122" customWidth="1"/>
    <col min="5901" max="5901" width="3.1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11" style="122" customWidth="1"/>
    <col min="6145" max="6145" width="2.62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125" style="122" customWidth="1"/>
    <col min="6150" max="6153" width="12.375" style="122" customWidth="1"/>
    <col min="6154" max="6156" width="7" style="122" customWidth="1"/>
    <col min="6157" max="6157" width="3.1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11" style="122" customWidth="1"/>
    <col min="6401" max="6401" width="2.62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125" style="122" customWidth="1"/>
    <col min="6406" max="6409" width="12.375" style="122" customWidth="1"/>
    <col min="6410" max="6412" width="7" style="122" customWidth="1"/>
    <col min="6413" max="6413" width="3.1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11" style="122" customWidth="1"/>
    <col min="6657" max="6657" width="2.62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125" style="122" customWidth="1"/>
    <col min="6662" max="6665" width="12.375" style="122" customWidth="1"/>
    <col min="6666" max="6668" width="7" style="122" customWidth="1"/>
    <col min="6669" max="6669" width="3.1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11" style="122" customWidth="1"/>
    <col min="6913" max="6913" width="2.62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125" style="122" customWidth="1"/>
    <col min="6918" max="6921" width="12.375" style="122" customWidth="1"/>
    <col min="6922" max="6924" width="7" style="122" customWidth="1"/>
    <col min="6925" max="6925" width="3.1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11" style="122" customWidth="1"/>
    <col min="7169" max="7169" width="2.62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125" style="122" customWidth="1"/>
    <col min="7174" max="7177" width="12.375" style="122" customWidth="1"/>
    <col min="7178" max="7180" width="7" style="122" customWidth="1"/>
    <col min="7181" max="7181" width="3.1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11" style="122" customWidth="1"/>
    <col min="7425" max="7425" width="2.62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125" style="122" customWidth="1"/>
    <col min="7430" max="7433" width="12.375" style="122" customWidth="1"/>
    <col min="7434" max="7436" width="7" style="122" customWidth="1"/>
    <col min="7437" max="7437" width="3.1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11" style="122" customWidth="1"/>
    <col min="7681" max="7681" width="2.62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125" style="122" customWidth="1"/>
    <col min="7686" max="7689" width="12.375" style="122" customWidth="1"/>
    <col min="7690" max="7692" width="7" style="122" customWidth="1"/>
    <col min="7693" max="7693" width="3.1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11" style="122" customWidth="1"/>
    <col min="7937" max="7937" width="2.62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125" style="122" customWidth="1"/>
    <col min="7942" max="7945" width="12.375" style="122" customWidth="1"/>
    <col min="7946" max="7948" width="7" style="122" customWidth="1"/>
    <col min="7949" max="7949" width="3.1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11" style="122" customWidth="1"/>
    <col min="8193" max="8193" width="2.62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125" style="122" customWidth="1"/>
    <col min="8198" max="8201" width="12.375" style="122" customWidth="1"/>
    <col min="8202" max="8204" width="7" style="122" customWidth="1"/>
    <col min="8205" max="8205" width="3.1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11" style="122" customWidth="1"/>
    <col min="8449" max="8449" width="2.62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125" style="122" customWidth="1"/>
    <col min="8454" max="8457" width="12.375" style="122" customWidth="1"/>
    <col min="8458" max="8460" width="7" style="122" customWidth="1"/>
    <col min="8461" max="8461" width="3.1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11" style="122" customWidth="1"/>
    <col min="8705" max="8705" width="2.62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125" style="122" customWidth="1"/>
    <col min="8710" max="8713" width="12.375" style="122" customWidth="1"/>
    <col min="8714" max="8716" width="7" style="122" customWidth="1"/>
    <col min="8717" max="8717" width="3.1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11" style="122" customWidth="1"/>
    <col min="8961" max="8961" width="2.62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125" style="122" customWidth="1"/>
    <col min="8966" max="8969" width="12.375" style="122" customWidth="1"/>
    <col min="8970" max="8972" width="7" style="122" customWidth="1"/>
    <col min="8973" max="8973" width="3.1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11" style="122" customWidth="1"/>
    <col min="9217" max="9217" width="2.62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125" style="122" customWidth="1"/>
    <col min="9222" max="9225" width="12.375" style="122" customWidth="1"/>
    <col min="9226" max="9228" width="7" style="122" customWidth="1"/>
    <col min="9229" max="9229" width="3.1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11" style="122" customWidth="1"/>
    <col min="9473" max="9473" width="2.62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125" style="122" customWidth="1"/>
    <col min="9478" max="9481" width="12.375" style="122" customWidth="1"/>
    <col min="9482" max="9484" width="7" style="122" customWidth="1"/>
    <col min="9485" max="9485" width="3.1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11" style="122" customWidth="1"/>
    <col min="9729" max="9729" width="2.62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125" style="122" customWidth="1"/>
    <col min="9734" max="9737" width="12.375" style="122" customWidth="1"/>
    <col min="9738" max="9740" width="7" style="122" customWidth="1"/>
    <col min="9741" max="9741" width="3.1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11" style="122" customWidth="1"/>
    <col min="9985" max="9985" width="2.62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125" style="122" customWidth="1"/>
    <col min="9990" max="9993" width="12.375" style="122" customWidth="1"/>
    <col min="9994" max="9996" width="7" style="122" customWidth="1"/>
    <col min="9997" max="9997" width="3.1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11" style="122" customWidth="1"/>
    <col min="10241" max="10241" width="2.62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125" style="122" customWidth="1"/>
    <col min="10246" max="10249" width="12.375" style="122" customWidth="1"/>
    <col min="10250" max="10252" width="7" style="122" customWidth="1"/>
    <col min="10253" max="10253" width="3.1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11" style="122" customWidth="1"/>
    <col min="10497" max="10497" width="2.62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125" style="122" customWidth="1"/>
    <col min="10502" max="10505" width="12.375" style="122" customWidth="1"/>
    <col min="10506" max="10508" width="7" style="122" customWidth="1"/>
    <col min="10509" max="10509" width="3.1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11" style="122" customWidth="1"/>
    <col min="10753" max="10753" width="2.62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125" style="122" customWidth="1"/>
    <col min="10758" max="10761" width="12.375" style="122" customWidth="1"/>
    <col min="10762" max="10764" width="7" style="122" customWidth="1"/>
    <col min="10765" max="10765" width="3.1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11" style="122" customWidth="1"/>
    <col min="11009" max="11009" width="2.62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125" style="122" customWidth="1"/>
    <col min="11014" max="11017" width="12.375" style="122" customWidth="1"/>
    <col min="11018" max="11020" width="7" style="122" customWidth="1"/>
    <col min="11021" max="11021" width="3.1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11" style="122" customWidth="1"/>
    <col min="11265" max="11265" width="2.62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125" style="122" customWidth="1"/>
    <col min="11270" max="11273" width="12.375" style="122" customWidth="1"/>
    <col min="11274" max="11276" width="7" style="122" customWidth="1"/>
    <col min="11277" max="11277" width="3.1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11" style="122" customWidth="1"/>
    <col min="11521" max="11521" width="2.62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125" style="122" customWidth="1"/>
    <col min="11526" max="11529" width="12.375" style="122" customWidth="1"/>
    <col min="11530" max="11532" width="7" style="122" customWidth="1"/>
    <col min="11533" max="11533" width="3.1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11" style="122" customWidth="1"/>
    <col min="11777" max="11777" width="2.62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125" style="122" customWidth="1"/>
    <col min="11782" max="11785" width="12.375" style="122" customWidth="1"/>
    <col min="11786" max="11788" width="7" style="122" customWidth="1"/>
    <col min="11789" max="11789" width="3.1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11" style="122" customWidth="1"/>
    <col min="12033" max="12033" width="2.62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125" style="122" customWidth="1"/>
    <col min="12038" max="12041" width="12.375" style="122" customWidth="1"/>
    <col min="12042" max="12044" width="7" style="122" customWidth="1"/>
    <col min="12045" max="12045" width="3.1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11" style="122" customWidth="1"/>
    <col min="12289" max="12289" width="2.62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125" style="122" customWidth="1"/>
    <col min="12294" max="12297" width="12.375" style="122" customWidth="1"/>
    <col min="12298" max="12300" width="7" style="122" customWidth="1"/>
    <col min="12301" max="12301" width="3.1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11" style="122" customWidth="1"/>
    <col min="12545" max="12545" width="2.62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125" style="122" customWidth="1"/>
    <col min="12550" max="12553" width="12.375" style="122" customWidth="1"/>
    <col min="12554" max="12556" width="7" style="122" customWidth="1"/>
    <col min="12557" max="12557" width="3.1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11" style="122" customWidth="1"/>
    <col min="12801" max="12801" width="2.62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125" style="122" customWidth="1"/>
    <col min="12806" max="12809" width="12.375" style="122" customWidth="1"/>
    <col min="12810" max="12812" width="7" style="122" customWidth="1"/>
    <col min="12813" max="12813" width="3.1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11" style="122" customWidth="1"/>
    <col min="13057" max="13057" width="2.62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125" style="122" customWidth="1"/>
    <col min="13062" max="13065" width="12.375" style="122" customWidth="1"/>
    <col min="13066" max="13068" width="7" style="122" customWidth="1"/>
    <col min="13069" max="13069" width="3.1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11" style="122" customWidth="1"/>
    <col min="13313" max="13313" width="2.62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125" style="122" customWidth="1"/>
    <col min="13318" max="13321" width="12.375" style="122" customWidth="1"/>
    <col min="13322" max="13324" width="7" style="122" customWidth="1"/>
    <col min="13325" max="13325" width="3.1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11" style="122" customWidth="1"/>
    <col min="13569" max="13569" width="2.62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125" style="122" customWidth="1"/>
    <col min="13574" max="13577" width="12.375" style="122" customWidth="1"/>
    <col min="13578" max="13580" width="7" style="122" customWidth="1"/>
    <col min="13581" max="13581" width="3.1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11" style="122" customWidth="1"/>
    <col min="13825" max="13825" width="2.62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125" style="122" customWidth="1"/>
    <col min="13830" max="13833" width="12.375" style="122" customWidth="1"/>
    <col min="13834" max="13836" width="7" style="122" customWidth="1"/>
    <col min="13837" max="13837" width="3.1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11" style="122" customWidth="1"/>
    <col min="14081" max="14081" width="2.62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125" style="122" customWidth="1"/>
    <col min="14086" max="14089" width="12.375" style="122" customWidth="1"/>
    <col min="14090" max="14092" width="7" style="122" customWidth="1"/>
    <col min="14093" max="14093" width="3.1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11" style="122" customWidth="1"/>
    <col min="14337" max="14337" width="2.62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125" style="122" customWidth="1"/>
    <col min="14342" max="14345" width="12.375" style="122" customWidth="1"/>
    <col min="14346" max="14348" width="7" style="122" customWidth="1"/>
    <col min="14349" max="14349" width="3.1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11" style="122" customWidth="1"/>
    <col min="14593" max="14593" width="2.62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125" style="122" customWidth="1"/>
    <col min="14598" max="14601" width="12.375" style="122" customWidth="1"/>
    <col min="14602" max="14604" width="7" style="122" customWidth="1"/>
    <col min="14605" max="14605" width="3.1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11" style="122" customWidth="1"/>
    <col min="14849" max="14849" width="2.62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125" style="122" customWidth="1"/>
    <col min="14854" max="14857" width="12.375" style="122" customWidth="1"/>
    <col min="14858" max="14860" width="7" style="122" customWidth="1"/>
    <col min="14861" max="14861" width="3.1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11" style="122" customWidth="1"/>
    <col min="15105" max="15105" width="2.62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125" style="122" customWidth="1"/>
    <col min="15110" max="15113" width="12.375" style="122" customWidth="1"/>
    <col min="15114" max="15116" width="7" style="122" customWidth="1"/>
    <col min="15117" max="15117" width="3.1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11" style="122" customWidth="1"/>
    <col min="15361" max="15361" width="2.62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125" style="122" customWidth="1"/>
    <col min="15366" max="15369" width="12.375" style="122" customWidth="1"/>
    <col min="15370" max="15372" width="7" style="122" customWidth="1"/>
    <col min="15373" max="15373" width="3.1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11" style="122" customWidth="1"/>
    <col min="15617" max="15617" width="2.62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125" style="122" customWidth="1"/>
    <col min="15622" max="15625" width="12.375" style="122" customWidth="1"/>
    <col min="15626" max="15628" width="7" style="122" customWidth="1"/>
    <col min="15629" max="15629" width="3.1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11" style="122" customWidth="1"/>
    <col min="15873" max="15873" width="2.62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125" style="122" customWidth="1"/>
    <col min="15878" max="15881" width="12.375" style="122" customWidth="1"/>
    <col min="15882" max="15884" width="7" style="122" customWidth="1"/>
    <col min="15885" max="15885" width="3.1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11" style="122" customWidth="1"/>
    <col min="16129" max="16129" width="2.62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125" style="122" customWidth="1"/>
    <col min="16134" max="16137" width="12.375" style="122" customWidth="1"/>
    <col min="16138" max="16140" width="7" style="122" customWidth="1"/>
    <col min="16141" max="16141" width="3.1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11" style="122" customWidth="1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100</v>
      </c>
      <c r="D3" s="412"/>
      <c r="E3" s="121"/>
      <c r="H3" s="115"/>
      <c r="L3" s="114" t="s">
        <v>89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101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212">
        <v>6250</v>
      </c>
      <c r="G9" s="212">
        <v>6375</v>
      </c>
      <c r="H9" s="212">
        <v>6606</v>
      </c>
      <c r="I9" s="212">
        <v>6650</v>
      </c>
      <c r="J9" s="56">
        <f t="shared" ref="J9:L12" si="0">IF(OR(G9=0,F9=0),"",G9/F9-1)</f>
        <v>2.0000000000000018E-2</v>
      </c>
      <c r="K9" s="57">
        <f t="shared" si="0"/>
        <v>3.6235294117647143E-2</v>
      </c>
      <c r="L9" s="58">
        <f t="shared" si="0"/>
        <v>6.6606115652436682E-3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215">
        <v>866</v>
      </c>
      <c r="G10" s="215">
        <v>860</v>
      </c>
      <c r="H10" s="215">
        <v>858</v>
      </c>
      <c r="I10" s="215">
        <v>860</v>
      </c>
      <c r="J10" s="59">
        <f t="shared" si="0"/>
        <v>-6.9284064665127154E-3</v>
      </c>
      <c r="K10" s="60">
        <f t="shared" si="0"/>
        <v>-2.3255813953488857E-3</v>
      </c>
      <c r="L10" s="61">
        <f t="shared" si="0"/>
        <v>2.3310023310023631E-3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215">
        <v>2065</v>
      </c>
      <c r="G11" s="215">
        <v>2152</v>
      </c>
      <c r="H11" s="215">
        <v>2203</v>
      </c>
      <c r="I11" s="215">
        <v>2200</v>
      </c>
      <c r="J11" s="59">
        <f t="shared" si="0"/>
        <v>4.2130750605326783E-2</v>
      </c>
      <c r="K11" s="60">
        <f t="shared" si="0"/>
        <v>2.3698884758364347E-2</v>
      </c>
      <c r="L11" s="61">
        <f t="shared" si="0"/>
        <v>-1.3617793917385379E-3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98">
        <f>+F10+F11</f>
        <v>2931</v>
      </c>
      <c r="G12" s="99">
        <f>+G10+G11</f>
        <v>3012</v>
      </c>
      <c r="H12" s="99">
        <f>+H10+H11</f>
        <v>3061</v>
      </c>
      <c r="I12" s="100">
        <f>+I10+I11</f>
        <v>3060</v>
      </c>
      <c r="J12" s="59">
        <f t="shared" si="0"/>
        <v>2.763561924257929E-2</v>
      </c>
      <c r="K12" s="60">
        <f t="shared" si="0"/>
        <v>1.626826029216466E-2</v>
      </c>
      <c r="L12" s="61">
        <f t="shared" si="0"/>
        <v>-3.2669062397905346E-4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77"/>
      <c r="G15" s="78"/>
      <c r="H15" s="78"/>
      <c r="I15" s="79"/>
      <c r="J15" s="62" t="str">
        <f t="shared" ref="J15:L21" si="1">IF(OR(G15=0,F15=0),"",G15/F15-1)</f>
        <v/>
      </c>
      <c r="K15" s="63" t="str">
        <f t="shared" si="1"/>
        <v/>
      </c>
      <c r="L15" s="64" t="str">
        <f t="shared" si="1"/>
        <v/>
      </c>
      <c r="N15" s="77"/>
      <c r="O15" s="78"/>
      <c r="P15" s="78"/>
      <c r="Q15" s="79"/>
      <c r="R15" s="62" t="str">
        <f t="shared" ref="R15:T21" si="2">IF(OR(O15=0,N15=0),"",O15/N15-1)</f>
        <v/>
      </c>
      <c r="S15" s="63" t="str">
        <f t="shared" si="2"/>
        <v/>
      </c>
      <c r="T15" s="64" t="str">
        <f t="shared" si="2"/>
        <v/>
      </c>
      <c r="V15" s="86">
        <f t="shared" ref="V15:Y16" si="3">+F15+N15</f>
        <v>0</v>
      </c>
      <c r="W15" s="87">
        <f t="shared" si="3"/>
        <v>0</v>
      </c>
      <c r="X15" s="87">
        <f t="shared" si="3"/>
        <v>0</v>
      </c>
      <c r="Y15" s="88">
        <f t="shared" si="3"/>
        <v>0</v>
      </c>
      <c r="Z15" s="59" t="str">
        <f t="shared" ref="Z15:AB21" si="4">IF(OR(W15=0,V15=0),"",W15/V15-1)</f>
        <v/>
      </c>
      <c r="AA15" s="60" t="str">
        <f t="shared" si="4"/>
        <v/>
      </c>
      <c r="AB15" s="61" t="str">
        <f t="shared" si="4"/>
        <v/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80"/>
      <c r="G16" s="81"/>
      <c r="H16" s="81"/>
      <c r="I16" s="82"/>
      <c r="J16" s="65" t="str">
        <f t="shared" si="1"/>
        <v/>
      </c>
      <c r="K16" s="66" t="str">
        <f t="shared" si="1"/>
        <v/>
      </c>
      <c r="L16" s="67" t="str">
        <f t="shared" si="1"/>
        <v/>
      </c>
      <c r="N16" s="80"/>
      <c r="O16" s="81"/>
      <c r="P16" s="81"/>
      <c r="Q16" s="82"/>
      <c r="R16" s="65" t="str">
        <f t="shared" si="2"/>
        <v/>
      </c>
      <c r="S16" s="66" t="str">
        <f t="shared" si="2"/>
        <v/>
      </c>
      <c r="T16" s="67" t="str">
        <f t="shared" si="2"/>
        <v/>
      </c>
      <c r="V16" s="89">
        <f t="shared" si="3"/>
        <v>0</v>
      </c>
      <c r="W16" s="90">
        <f t="shared" si="3"/>
        <v>0</v>
      </c>
      <c r="X16" s="90">
        <f t="shared" si="3"/>
        <v>0</v>
      </c>
      <c r="Y16" s="91">
        <f t="shared" si="3"/>
        <v>0</v>
      </c>
      <c r="Z16" s="68" t="str">
        <f t="shared" si="4"/>
        <v/>
      </c>
      <c r="AA16" s="69" t="str">
        <f t="shared" si="4"/>
        <v/>
      </c>
      <c r="AB16" s="70" t="str">
        <f t="shared" si="4"/>
        <v/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98">
        <f>+F15+F16</f>
        <v>0</v>
      </c>
      <c r="G17" s="99">
        <f>+G15+G16</f>
        <v>0</v>
      </c>
      <c r="H17" s="99">
        <f>+H15+H16</f>
        <v>0</v>
      </c>
      <c r="I17" s="100">
        <f>+I15+I16</f>
        <v>0</v>
      </c>
      <c r="J17" s="68" t="str">
        <f t="shared" si="1"/>
        <v/>
      </c>
      <c r="K17" s="69" t="str">
        <f t="shared" si="1"/>
        <v/>
      </c>
      <c r="L17" s="70" t="str">
        <f t="shared" si="1"/>
        <v/>
      </c>
      <c r="M17" s="7">
        <f>+M15+M16</f>
        <v>0</v>
      </c>
      <c r="N17" s="98">
        <f>+N15+N16</f>
        <v>0</v>
      </c>
      <c r="O17" s="99">
        <f>+O15+O16</f>
        <v>0</v>
      </c>
      <c r="P17" s="99">
        <f>+P15+P16</f>
        <v>0</v>
      </c>
      <c r="Q17" s="100">
        <f>+Q15+Q16</f>
        <v>0</v>
      </c>
      <c r="R17" s="68" t="str">
        <f t="shared" si="2"/>
        <v/>
      </c>
      <c r="S17" s="69" t="str">
        <f t="shared" si="2"/>
        <v/>
      </c>
      <c r="T17" s="70" t="str">
        <f t="shared" si="2"/>
        <v/>
      </c>
      <c r="U17" s="7"/>
      <c r="V17" s="219">
        <v>528</v>
      </c>
      <c r="W17" s="219">
        <v>534</v>
      </c>
      <c r="X17" s="99">
        <v>548</v>
      </c>
      <c r="Y17" s="100">
        <v>546</v>
      </c>
      <c r="Z17" s="68">
        <f t="shared" si="4"/>
        <v>1.1363636363636465E-2</v>
      </c>
      <c r="AA17" s="69">
        <f t="shared" si="4"/>
        <v>2.621722846441954E-2</v>
      </c>
      <c r="AB17" s="70">
        <f t="shared" si="4"/>
        <v>-3.6496350364964014E-3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74"/>
      <c r="G18" s="75"/>
      <c r="H18" s="75"/>
      <c r="I18" s="76"/>
      <c r="J18" s="59" t="str">
        <f t="shared" si="1"/>
        <v/>
      </c>
      <c r="K18" s="60" t="str">
        <f t="shared" si="1"/>
        <v/>
      </c>
      <c r="L18" s="61" t="str">
        <f t="shared" si="1"/>
        <v/>
      </c>
      <c r="N18" s="74"/>
      <c r="O18" s="75"/>
      <c r="P18" s="75"/>
      <c r="Q18" s="76"/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247">
        <v>140</v>
      </c>
      <c r="W18" s="247">
        <v>142</v>
      </c>
      <c r="X18" s="93">
        <v>150</v>
      </c>
      <c r="Y18" s="94">
        <v>155</v>
      </c>
      <c r="Z18" s="59">
        <f t="shared" si="4"/>
        <v>1.4285714285714235E-2</v>
      </c>
      <c r="AA18" s="60">
        <f t="shared" si="4"/>
        <v>5.6338028169014009E-2</v>
      </c>
      <c r="AB18" s="61">
        <f t="shared" si="4"/>
        <v>3.3333333333333437E-2</v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83"/>
      <c r="G19" s="84"/>
      <c r="H19" s="84"/>
      <c r="I19" s="85"/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/>
      <c r="O19" s="84"/>
      <c r="P19" s="84"/>
      <c r="Q19" s="85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255">
        <v>0</v>
      </c>
      <c r="W19" s="255">
        <v>0</v>
      </c>
      <c r="X19" s="96">
        <f>+H19+P19</f>
        <v>0</v>
      </c>
      <c r="Y19" s="97">
        <f>+I19+Q19</f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74"/>
      <c r="G20" s="75"/>
      <c r="H20" s="75"/>
      <c r="I20" s="76"/>
      <c r="J20" s="59" t="str">
        <f t="shared" si="1"/>
        <v/>
      </c>
      <c r="K20" s="60" t="str">
        <f t="shared" si="1"/>
        <v/>
      </c>
      <c r="L20" s="61" t="str">
        <f t="shared" si="1"/>
        <v/>
      </c>
      <c r="N20" s="74"/>
      <c r="O20" s="75"/>
      <c r="P20" s="75"/>
      <c r="Q20" s="76"/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247">
        <v>10</v>
      </c>
      <c r="W20" s="247">
        <v>8</v>
      </c>
      <c r="X20" s="93">
        <v>8</v>
      </c>
      <c r="Y20" s="94">
        <v>6</v>
      </c>
      <c r="Z20" s="59">
        <f t="shared" si="4"/>
        <v>-0.19999999999999996</v>
      </c>
      <c r="AA20" s="60">
        <f t="shared" si="4"/>
        <v>0</v>
      </c>
      <c r="AB20" s="61">
        <f t="shared" si="4"/>
        <v>-0.25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83"/>
      <c r="G21" s="84"/>
      <c r="H21" s="84"/>
      <c r="I21" s="85"/>
      <c r="J21" s="68" t="str">
        <f t="shared" si="1"/>
        <v/>
      </c>
      <c r="K21" s="69" t="str">
        <f t="shared" si="1"/>
        <v/>
      </c>
      <c r="L21" s="70" t="str">
        <f t="shared" si="1"/>
        <v/>
      </c>
      <c r="N21" s="83"/>
      <c r="O21" s="84"/>
      <c r="P21" s="84"/>
      <c r="Q21" s="85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255">
        <v>32</v>
      </c>
      <c r="W21" s="255">
        <v>31</v>
      </c>
      <c r="X21" s="96">
        <v>40</v>
      </c>
      <c r="Y21" s="97">
        <v>42</v>
      </c>
      <c r="Z21" s="68">
        <f t="shared" si="4"/>
        <v>-3.125E-2</v>
      </c>
      <c r="AA21" s="69">
        <f t="shared" si="4"/>
        <v>0.29032258064516125</v>
      </c>
      <c r="AB21" s="70">
        <f t="shared" si="4"/>
        <v>5.0000000000000044E-2</v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257">
        <v>185</v>
      </c>
      <c r="G24" s="257">
        <v>190</v>
      </c>
      <c r="H24" s="78">
        <v>195</v>
      </c>
      <c r="I24" s="79">
        <v>195</v>
      </c>
      <c r="J24" s="59">
        <f t="shared" ref="J24:L30" si="5">IF(OR(G24=0,F24=0),"",G24/F24-1)</f>
        <v>2.7027027027026973E-2</v>
      </c>
      <c r="K24" s="60">
        <f t="shared" si="5"/>
        <v>2.6315789473684292E-2</v>
      </c>
      <c r="L24" s="61">
        <f t="shared" si="5"/>
        <v>0</v>
      </c>
      <c r="N24" s="257">
        <v>115</v>
      </c>
      <c r="O24" s="257">
        <v>118</v>
      </c>
      <c r="P24" s="78">
        <v>117</v>
      </c>
      <c r="Q24" s="79">
        <v>117</v>
      </c>
      <c r="R24" s="59">
        <f t="shared" ref="R24:T30" si="6">IF(OR(O24=0,N24=0),"",O24/N24-1)</f>
        <v>2.6086956521739202E-2</v>
      </c>
      <c r="S24" s="60">
        <f t="shared" si="6"/>
        <v>-8.4745762711864181E-3</v>
      </c>
      <c r="T24" s="61">
        <f t="shared" si="6"/>
        <v>0</v>
      </c>
      <c r="V24" s="86">
        <f>+D24+N24</f>
        <v>115</v>
      </c>
      <c r="W24" s="87">
        <v>308</v>
      </c>
      <c r="X24" s="87">
        <v>312</v>
      </c>
      <c r="Y24" s="88">
        <f>+I24+Q24</f>
        <v>312</v>
      </c>
      <c r="Z24" s="59">
        <f t="shared" ref="Z24:AB30" si="7">IF(OR(W24=0,V24=0),"",W24/V24-1)</f>
        <v>1.6782608695652175</v>
      </c>
      <c r="AA24" s="60">
        <f t="shared" si="7"/>
        <v>1.298701298701288E-2</v>
      </c>
      <c r="AB24" s="61">
        <f t="shared" si="7"/>
        <v>0</v>
      </c>
      <c r="AD24" s="10"/>
      <c r="AE24" s="321"/>
      <c r="AF24" s="10"/>
      <c r="AG24" s="10"/>
      <c r="AH24" s="321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312">
        <v>203</v>
      </c>
      <c r="G25" s="312">
        <v>215</v>
      </c>
      <c r="H25" s="81">
        <v>220</v>
      </c>
      <c r="I25" s="82">
        <v>222</v>
      </c>
      <c r="J25" s="68">
        <f t="shared" si="5"/>
        <v>5.9113300492610765E-2</v>
      </c>
      <c r="K25" s="69">
        <f t="shared" si="5"/>
        <v>2.3255813953488413E-2</v>
      </c>
      <c r="L25" s="70">
        <f t="shared" si="5"/>
        <v>9.0909090909090384E-3</v>
      </c>
      <c r="N25" s="312">
        <v>123</v>
      </c>
      <c r="O25" s="312">
        <v>114</v>
      </c>
      <c r="P25" s="81">
        <v>118</v>
      </c>
      <c r="Q25" s="82">
        <v>119</v>
      </c>
      <c r="R25" s="68">
        <f t="shared" si="6"/>
        <v>-7.3170731707317027E-2</v>
      </c>
      <c r="S25" s="69">
        <f t="shared" si="6"/>
        <v>3.5087719298245723E-2</v>
      </c>
      <c r="T25" s="70">
        <f t="shared" si="6"/>
        <v>8.4745762711864181E-3</v>
      </c>
      <c r="V25" s="89">
        <f>+D25+N25</f>
        <v>123</v>
      </c>
      <c r="W25" s="90">
        <v>329</v>
      </c>
      <c r="X25" s="90">
        <v>338</v>
      </c>
      <c r="Y25" s="91">
        <f>+I25+Q25</f>
        <v>341</v>
      </c>
      <c r="Z25" s="68">
        <f t="shared" si="7"/>
        <v>1.6747967479674797</v>
      </c>
      <c r="AA25" s="69">
        <f t="shared" si="7"/>
        <v>2.7355623100304038E-2</v>
      </c>
      <c r="AB25" s="70">
        <f t="shared" si="7"/>
        <v>8.8757396449703485E-3</v>
      </c>
      <c r="AD25" s="10"/>
      <c r="AE25" s="321"/>
      <c r="AF25" s="10"/>
      <c r="AG25" s="10"/>
      <c r="AH25" s="321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98">
        <f>+F24+F25</f>
        <v>388</v>
      </c>
      <c r="G26" s="98">
        <f>+G24+G25</f>
        <v>405</v>
      </c>
      <c r="H26" s="99">
        <f>+H24+H25</f>
        <v>415</v>
      </c>
      <c r="I26" s="100">
        <f>+I24+I25</f>
        <v>417</v>
      </c>
      <c r="J26" s="68">
        <f t="shared" si="5"/>
        <v>4.3814432989690788E-2</v>
      </c>
      <c r="K26" s="69">
        <f t="shared" si="5"/>
        <v>2.4691358024691468E-2</v>
      </c>
      <c r="L26" s="70">
        <f t="shared" si="5"/>
        <v>4.8192771084336616E-3</v>
      </c>
      <c r="M26" s="7"/>
      <c r="N26" s="98">
        <f>+N24+N25</f>
        <v>238</v>
      </c>
      <c r="O26" s="98">
        <f>+O24+O25</f>
        <v>232</v>
      </c>
      <c r="P26" s="99">
        <f>+P24+P25</f>
        <v>235</v>
      </c>
      <c r="Q26" s="100">
        <f>+Q24+Q25</f>
        <v>236</v>
      </c>
      <c r="R26" s="68">
        <f t="shared" si="6"/>
        <v>-2.5210084033613467E-2</v>
      </c>
      <c r="S26" s="69">
        <f t="shared" si="6"/>
        <v>1.2931034482758674E-2</v>
      </c>
      <c r="T26" s="70">
        <f t="shared" si="6"/>
        <v>4.2553191489360653E-3</v>
      </c>
      <c r="U26" s="7"/>
      <c r="V26" s="98">
        <f>+V24+V25</f>
        <v>238</v>
      </c>
      <c r="W26" s="99">
        <f>+W24+W25</f>
        <v>637</v>
      </c>
      <c r="X26" s="99">
        <v>650</v>
      </c>
      <c r="Y26" s="100">
        <v>653</v>
      </c>
      <c r="Z26" s="68">
        <f t="shared" si="7"/>
        <v>1.6764705882352939</v>
      </c>
      <c r="AA26" s="69">
        <f t="shared" si="7"/>
        <v>2.0408163265306145E-2</v>
      </c>
      <c r="AB26" s="70">
        <f t="shared" si="7"/>
        <v>4.6153846153846878E-3</v>
      </c>
      <c r="AD26" s="10"/>
      <c r="AE26" s="321"/>
      <c r="AF26" s="10"/>
      <c r="AG26" s="10"/>
      <c r="AH26" s="321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74"/>
      <c r="G27" s="75"/>
      <c r="H27" s="75"/>
      <c r="I27" s="76"/>
      <c r="J27" s="59" t="str">
        <f t="shared" si="5"/>
        <v/>
      </c>
      <c r="K27" s="60" t="str">
        <f t="shared" si="5"/>
        <v/>
      </c>
      <c r="L27" s="61" t="str">
        <f t="shared" si="5"/>
        <v/>
      </c>
      <c r="N27" s="74"/>
      <c r="O27" s="75"/>
      <c r="P27" s="75"/>
      <c r="Q27" s="76"/>
      <c r="R27" s="59" t="str">
        <f t="shared" si="6"/>
        <v/>
      </c>
      <c r="S27" s="60" t="str">
        <f t="shared" si="6"/>
        <v/>
      </c>
      <c r="T27" s="61" t="str">
        <f t="shared" si="6"/>
        <v/>
      </c>
      <c r="V27" s="247">
        <v>96</v>
      </c>
      <c r="W27" s="247">
        <v>110</v>
      </c>
      <c r="X27" s="93">
        <v>112</v>
      </c>
      <c r="Y27" s="94">
        <v>115</v>
      </c>
      <c r="Z27" s="59">
        <f t="shared" si="7"/>
        <v>0.14583333333333326</v>
      </c>
      <c r="AA27" s="60">
        <f t="shared" si="7"/>
        <v>1.8181818181818077E-2</v>
      </c>
      <c r="AB27" s="61">
        <f t="shared" si="7"/>
        <v>2.6785714285714191E-2</v>
      </c>
      <c r="AD27" s="10"/>
      <c r="AE27" s="10"/>
      <c r="AF27" s="321"/>
      <c r="AG27" s="10"/>
      <c r="AH27" s="322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83"/>
      <c r="G28" s="84"/>
      <c r="H28" s="84"/>
      <c r="I28" s="85"/>
      <c r="J28" s="68" t="str">
        <f t="shared" si="5"/>
        <v/>
      </c>
      <c r="K28" s="69" t="str">
        <f t="shared" si="5"/>
        <v/>
      </c>
      <c r="L28" s="70" t="str">
        <f t="shared" si="5"/>
        <v/>
      </c>
      <c r="N28" s="83"/>
      <c r="O28" s="84"/>
      <c r="P28" s="84"/>
      <c r="Q28" s="85"/>
      <c r="R28" s="68" t="str">
        <f t="shared" si="6"/>
        <v/>
      </c>
      <c r="S28" s="69" t="str">
        <f t="shared" si="6"/>
        <v/>
      </c>
      <c r="T28" s="70" t="str">
        <f t="shared" si="6"/>
        <v/>
      </c>
      <c r="V28" s="255">
        <v>14</v>
      </c>
      <c r="W28" s="255">
        <v>13</v>
      </c>
      <c r="X28" s="96">
        <v>13</v>
      </c>
      <c r="Y28" s="97">
        <v>18</v>
      </c>
      <c r="Z28" s="68">
        <f t="shared" si="7"/>
        <v>-7.1428571428571397E-2</v>
      </c>
      <c r="AA28" s="69">
        <f t="shared" si="7"/>
        <v>0</v>
      </c>
      <c r="AB28" s="70">
        <f t="shared" si="7"/>
        <v>0.38461538461538458</v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74"/>
      <c r="G29" s="75"/>
      <c r="H29" s="75"/>
      <c r="I29" s="76"/>
      <c r="J29" s="59" t="str">
        <f t="shared" si="5"/>
        <v/>
      </c>
      <c r="K29" s="60" t="str">
        <f t="shared" si="5"/>
        <v/>
      </c>
      <c r="L29" s="61" t="str">
        <f t="shared" si="5"/>
        <v/>
      </c>
      <c r="N29" s="74"/>
      <c r="O29" s="75"/>
      <c r="P29" s="75"/>
      <c r="Q29" s="76"/>
      <c r="R29" s="59" t="str">
        <f t="shared" si="6"/>
        <v/>
      </c>
      <c r="S29" s="60" t="str">
        <f t="shared" si="6"/>
        <v/>
      </c>
      <c r="T29" s="61" t="str">
        <f t="shared" si="6"/>
        <v/>
      </c>
      <c r="V29" s="247">
        <v>149</v>
      </c>
      <c r="W29" s="247">
        <v>150</v>
      </c>
      <c r="X29" s="93">
        <v>153</v>
      </c>
      <c r="Y29" s="94">
        <v>150</v>
      </c>
      <c r="Z29" s="59">
        <f t="shared" si="7"/>
        <v>6.7114093959732557E-3</v>
      </c>
      <c r="AA29" s="60">
        <f t="shared" si="7"/>
        <v>2.0000000000000018E-2</v>
      </c>
      <c r="AB29" s="61">
        <f t="shared" si="7"/>
        <v>-1.9607843137254943E-2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83"/>
      <c r="G30" s="84"/>
      <c r="H30" s="84"/>
      <c r="I30" s="85"/>
      <c r="J30" s="68" t="str">
        <f t="shared" si="5"/>
        <v/>
      </c>
      <c r="K30" s="69" t="str">
        <f t="shared" si="5"/>
        <v/>
      </c>
      <c r="L30" s="70" t="str">
        <f t="shared" si="5"/>
        <v/>
      </c>
      <c r="N30" s="83"/>
      <c r="O30" s="84"/>
      <c r="P30" s="84"/>
      <c r="Q30" s="85"/>
      <c r="R30" s="68" t="str">
        <f t="shared" si="6"/>
        <v/>
      </c>
      <c r="S30" s="69" t="str">
        <f t="shared" si="6"/>
        <v/>
      </c>
      <c r="T30" s="70" t="str">
        <f t="shared" si="6"/>
        <v/>
      </c>
      <c r="V30" s="255">
        <v>14</v>
      </c>
      <c r="W30" s="255">
        <v>19</v>
      </c>
      <c r="X30" s="96">
        <v>27</v>
      </c>
      <c r="Y30" s="97">
        <v>32</v>
      </c>
      <c r="Z30" s="65">
        <f t="shared" si="7"/>
        <v>0.35714285714285721</v>
      </c>
      <c r="AA30" s="66">
        <f t="shared" si="7"/>
        <v>0.42105263157894735</v>
      </c>
      <c r="AB30" s="67">
        <f t="shared" si="7"/>
        <v>0.18518518518518512</v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77"/>
      <c r="G33" s="78"/>
      <c r="H33" s="78"/>
      <c r="I33" s="79"/>
      <c r="J33" s="62" t="str">
        <f t="shared" ref="J33:L36" si="8">IF(OR(G33=0,F33=0),"",G33/F33-1)</f>
        <v/>
      </c>
      <c r="K33" s="63" t="str">
        <f t="shared" si="8"/>
        <v/>
      </c>
      <c r="L33" s="64" t="str">
        <f t="shared" si="8"/>
        <v/>
      </c>
      <c r="N33" s="77"/>
      <c r="O33" s="78"/>
      <c r="P33" s="78"/>
      <c r="Q33" s="79"/>
      <c r="R33" s="62" t="str">
        <f t="shared" ref="R33:T36" si="9">IF(OR(O33=0,N33=0),"",O33/N33-1)</f>
        <v/>
      </c>
      <c r="S33" s="63" t="str">
        <f t="shared" si="9"/>
        <v/>
      </c>
      <c r="T33" s="64" t="str">
        <f t="shared" si="9"/>
        <v/>
      </c>
      <c r="V33" s="86">
        <f t="shared" ref="V33:Y34" si="10">+F33+N33</f>
        <v>0</v>
      </c>
      <c r="W33" s="87">
        <f t="shared" si="10"/>
        <v>0</v>
      </c>
      <c r="X33" s="87">
        <f t="shared" si="10"/>
        <v>0</v>
      </c>
      <c r="Y33" s="88">
        <f t="shared" si="10"/>
        <v>0</v>
      </c>
      <c r="Z33" s="62" t="str">
        <f t="shared" ref="Z33:AB36" si="11">IF(OR(W33=0,V33=0),"",W33/V33-1)</f>
        <v/>
      </c>
      <c r="AA33" s="63" t="str">
        <f t="shared" si="11"/>
        <v/>
      </c>
      <c r="AB33" s="64" t="str">
        <f t="shared" si="11"/>
        <v/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80"/>
      <c r="G34" s="81"/>
      <c r="H34" s="81"/>
      <c r="I34" s="82"/>
      <c r="J34" s="65" t="str">
        <f t="shared" si="8"/>
        <v/>
      </c>
      <c r="K34" s="66" t="str">
        <f t="shared" si="8"/>
        <v/>
      </c>
      <c r="L34" s="67" t="str">
        <f t="shared" si="8"/>
        <v/>
      </c>
      <c r="N34" s="80"/>
      <c r="O34" s="81"/>
      <c r="P34" s="81"/>
      <c r="Q34" s="82"/>
      <c r="R34" s="65" t="str">
        <f t="shared" si="9"/>
        <v/>
      </c>
      <c r="S34" s="66" t="str">
        <f t="shared" si="9"/>
        <v/>
      </c>
      <c r="T34" s="67" t="str">
        <f t="shared" si="9"/>
        <v/>
      </c>
      <c r="V34" s="89">
        <f t="shared" si="10"/>
        <v>0</v>
      </c>
      <c r="W34" s="90">
        <f t="shared" si="10"/>
        <v>0</v>
      </c>
      <c r="X34" s="90">
        <f t="shared" si="10"/>
        <v>0</v>
      </c>
      <c r="Y34" s="91">
        <f t="shared" si="10"/>
        <v>0</v>
      </c>
      <c r="Z34" s="65" t="str">
        <f t="shared" si="11"/>
        <v/>
      </c>
      <c r="AA34" s="66" t="str">
        <f t="shared" si="11"/>
        <v/>
      </c>
      <c r="AB34" s="67" t="str">
        <f t="shared" si="11"/>
        <v/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98">
        <f>+F33+F34</f>
        <v>0</v>
      </c>
      <c r="G35" s="99">
        <f>+G33+G34</f>
        <v>0</v>
      </c>
      <c r="H35" s="99">
        <f>+H33+H34</f>
        <v>0</v>
      </c>
      <c r="I35" s="100">
        <f>+I33+I34</f>
        <v>0</v>
      </c>
      <c r="J35" s="68" t="str">
        <f t="shared" si="8"/>
        <v/>
      </c>
      <c r="K35" s="69" t="str">
        <f t="shared" si="8"/>
        <v/>
      </c>
      <c r="L35" s="70" t="str">
        <f t="shared" si="8"/>
        <v/>
      </c>
      <c r="M35" s="7"/>
      <c r="N35" s="98">
        <f>+N33+N34</f>
        <v>0</v>
      </c>
      <c r="O35" s="99">
        <f>+O33+O34</f>
        <v>0</v>
      </c>
      <c r="P35" s="99">
        <f>+P33+P34</f>
        <v>0</v>
      </c>
      <c r="Q35" s="100">
        <f>+Q33+Q34</f>
        <v>0</v>
      </c>
      <c r="R35" s="68" t="str">
        <f t="shared" si="9"/>
        <v/>
      </c>
      <c r="S35" s="69" t="str">
        <f t="shared" si="9"/>
        <v/>
      </c>
      <c r="T35" s="70" t="str">
        <f t="shared" si="9"/>
        <v/>
      </c>
      <c r="U35" s="7"/>
      <c r="V35" s="99">
        <v>573</v>
      </c>
      <c r="W35" s="99">
        <f>W26+W27+W28-W29-W30</f>
        <v>591</v>
      </c>
      <c r="X35" s="99">
        <v>595</v>
      </c>
      <c r="Y35" s="100">
        <v>604</v>
      </c>
      <c r="Z35" s="68">
        <f t="shared" si="11"/>
        <v>3.1413612565444948E-2</v>
      </c>
      <c r="AA35" s="69">
        <f t="shared" si="11"/>
        <v>6.7681895093063549E-3</v>
      </c>
      <c r="AB35" s="70">
        <f t="shared" si="11"/>
        <v>1.5126050420168013E-2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83"/>
      <c r="G36" s="84"/>
      <c r="H36" s="84"/>
      <c r="I36" s="85"/>
      <c r="J36" s="68" t="str">
        <f t="shared" si="8"/>
        <v/>
      </c>
      <c r="K36" s="69" t="str">
        <f t="shared" si="8"/>
        <v/>
      </c>
      <c r="L36" s="70" t="str">
        <f t="shared" si="8"/>
        <v/>
      </c>
      <c r="N36" s="83"/>
      <c r="O36" s="84"/>
      <c r="P36" s="84"/>
      <c r="Q36" s="85"/>
      <c r="R36" s="68" t="str">
        <f t="shared" si="9"/>
        <v/>
      </c>
      <c r="S36" s="69" t="str">
        <f t="shared" si="9"/>
        <v/>
      </c>
      <c r="T36" s="70" t="str">
        <f t="shared" si="9"/>
        <v/>
      </c>
      <c r="V36" s="96">
        <v>12.3</v>
      </c>
      <c r="W36" s="96">
        <v>12.4</v>
      </c>
      <c r="X36" s="96">
        <v>12.7</v>
      </c>
      <c r="Y36" s="97">
        <v>12.9</v>
      </c>
      <c r="Z36" s="68">
        <f t="shared" si="11"/>
        <v>8.1300813008129413E-3</v>
      </c>
      <c r="AA36" s="69">
        <f t="shared" si="11"/>
        <v>2.4193548387096753E-2</v>
      </c>
      <c r="AB36" s="70">
        <f t="shared" si="11"/>
        <v>1.5748031496063186E-2</v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319">
        <v>367</v>
      </c>
      <c r="G42" s="319">
        <v>372</v>
      </c>
      <c r="H42" s="102">
        <v>374</v>
      </c>
      <c r="I42" s="103">
        <v>376</v>
      </c>
      <c r="J42" s="62">
        <f t="shared" ref="J42:L44" si="12">IF(OR(G42=0,F42=0),"",G42/F42-1)</f>
        <v>1.3623978201634968E-2</v>
      </c>
      <c r="K42" s="63">
        <f t="shared" si="12"/>
        <v>5.3763440860215006E-3</v>
      </c>
      <c r="L42" s="64">
        <f t="shared" si="12"/>
        <v>5.3475935828877219E-3</v>
      </c>
      <c r="N42" s="101"/>
      <c r="O42" s="102"/>
      <c r="P42" s="102"/>
      <c r="Q42" s="103"/>
      <c r="R42" s="62" t="str">
        <f t="shared" ref="R42:T44" si="13">IF(OR(O42=0,N42=0),"",O42/N42-1)</f>
        <v/>
      </c>
      <c r="S42" s="63" t="str">
        <f t="shared" si="13"/>
        <v/>
      </c>
      <c r="T42" s="64" t="str">
        <f t="shared" si="13"/>
        <v/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320">
        <v>360</v>
      </c>
      <c r="G43" s="320">
        <v>365</v>
      </c>
      <c r="H43" s="105">
        <v>376</v>
      </c>
      <c r="I43" s="106">
        <v>380</v>
      </c>
      <c r="J43" s="65">
        <f t="shared" si="12"/>
        <v>1.388888888888884E-2</v>
      </c>
      <c r="K43" s="66">
        <f t="shared" si="12"/>
        <v>3.013698630136985E-2</v>
      </c>
      <c r="L43" s="67">
        <f t="shared" si="12"/>
        <v>1.0638297872340496E-2</v>
      </c>
      <c r="N43" s="104"/>
      <c r="O43" s="105"/>
      <c r="P43" s="105"/>
      <c r="Q43" s="106"/>
      <c r="R43" s="65" t="str">
        <f t="shared" si="13"/>
        <v/>
      </c>
      <c r="S43" s="66" t="str">
        <f t="shared" si="13"/>
        <v/>
      </c>
      <c r="T43" s="67" t="str">
        <f t="shared" si="13"/>
        <v/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7">
        <f>(F42+F43)/2</f>
        <v>363.5</v>
      </c>
      <c r="G44" s="108">
        <f>(G42+G43)/2</f>
        <v>368.5</v>
      </c>
      <c r="H44" s="108">
        <f>(H42+H43)/2</f>
        <v>375</v>
      </c>
      <c r="I44" s="109">
        <f>(I42+I43)/2</f>
        <v>378</v>
      </c>
      <c r="J44" s="68">
        <f t="shared" si="12"/>
        <v>1.3755158184319161E-2</v>
      </c>
      <c r="K44" s="69">
        <f t="shared" si="12"/>
        <v>1.7639077340569909E-2</v>
      </c>
      <c r="L44" s="70">
        <f t="shared" si="12"/>
        <v>8.0000000000000071E-3</v>
      </c>
      <c r="M44" s="7"/>
      <c r="N44" s="107">
        <f>(N42+N43)/2</f>
        <v>0</v>
      </c>
      <c r="O44" s="108">
        <f>(O42+O43)/2</f>
        <v>0</v>
      </c>
      <c r="P44" s="108">
        <f>(P42+P43)/2</f>
        <v>0</v>
      </c>
      <c r="Q44" s="109">
        <f>(Q42+Q43)/2</f>
        <v>0</v>
      </c>
      <c r="R44" s="68" t="str">
        <f t="shared" si="13"/>
        <v/>
      </c>
      <c r="S44" s="69" t="str">
        <f t="shared" si="13"/>
        <v/>
      </c>
      <c r="T44" s="70" t="str">
        <f t="shared" si="13"/>
        <v/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319">
        <v>222</v>
      </c>
      <c r="G48" s="319">
        <v>221</v>
      </c>
      <c r="H48" s="102">
        <v>219</v>
      </c>
      <c r="I48" s="103">
        <v>223</v>
      </c>
      <c r="J48" s="62">
        <f t="shared" ref="J48:L50" si="14">IF(OR(G48=0,F48=0),"",G48/F48-1)</f>
        <v>-4.5045045045044585E-3</v>
      </c>
      <c r="K48" s="63">
        <f t="shared" si="14"/>
        <v>-9.0497737556560764E-3</v>
      </c>
      <c r="L48" s="64">
        <f t="shared" si="14"/>
        <v>1.8264840182648401E-2</v>
      </c>
      <c r="N48" s="319">
        <v>367</v>
      </c>
      <c r="O48" s="319">
        <v>372</v>
      </c>
      <c r="P48" s="102">
        <v>374</v>
      </c>
      <c r="Q48" s="103">
        <v>376</v>
      </c>
      <c r="R48" s="62">
        <f t="shared" ref="R48:T50" si="15">IF(OR(O48=0,N48=0),"",O48/N48-1)</f>
        <v>1.3623978201634968E-2</v>
      </c>
      <c r="S48" s="63">
        <f t="shared" si="15"/>
        <v>5.3763440860215006E-3</v>
      </c>
      <c r="T48" s="64">
        <f t="shared" si="15"/>
        <v>5.3475935828877219E-3</v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320">
        <v>227</v>
      </c>
      <c r="G49" s="320">
        <v>206</v>
      </c>
      <c r="H49" s="105">
        <v>215</v>
      </c>
      <c r="I49" s="106">
        <v>216</v>
      </c>
      <c r="J49" s="65">
        <f t="shared" si="14"/>
        <v>-9.2511013215859084E-2</v>
      </c>
      <c r="K49" s="66">
        <f t="shared" si="14"/>
        <v>4.3689320388349495E-2</v>
      </c>
      <c r="L49" s="67">
        <f t="shared" si="14"/>
        <v>4.6511627906977715E-3</v>
      </c>
      <c r="N49" s="320">
        <v>360</v>
      </c>
      <c r="O49" s="320">
        <v>365</v>
      </c>
      <c r="P49" s="105">
        <v>376</v>
      </c>
      <c r="Q49" s="106">
        <v>380</v>
      </c>
      <c r="R49" s="65">
        <f t="shared" si="15"/>
        <v>1.388888888888884E-2</v>
      </c>
      <c r="S49" s="66">
        <f t="shared" si="15"/>
        <v>3.013698630136985E-2</v>
      </c>
      <c r="T49" s="67">
        <f t="shared" si="15"/>
        <v>1.0638297872340496E-2</v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f>(F48+F49)/2</f>
        <v>224.5</v>
      </c>
      <c r="G50" s="108">
        <f>(G48+G49)/2</f>
        <v>213.5</v>
      </c>
      <c r="H50" s="108">
        <f>(H48+H49)/2</f>
        <v>217</v>
      </c>
      <c r="I50" s="109">
        <f>(I48+I49)/2</f>
        <v>219.5</v>
      </c>
      <c r="J50" s="68">
        <f t="shared" si="14"/>
        <v>-4.8997772828507813E-2</v>
      </c>
      <c r="K50" s="69">
        <f t="shared" si="14"/>
        <v>1.6393442622950838E-2</v>
      </c>
      <c r="L50" s="70">
        <f t="shared" si="14"/>
        <v>1.1520737327188835E-2</v>
      </c>
      <c r="M50" s="7"/>
      <c r="N50" s="107">
        <f>(N48+N49)/2</f>
        <v>363.5</v>
      </c>
      <c r="O50" s="108">
        <f>(O48+O49)/2</f>
        <v>368.5</v>
      </c>
      <c r="P50" s="108">
        <f>(P48+P49)/2</f>
        <v>375</v>
      </c>
      <c r="Q50" s="109">
        <f>(Q48+Q49)/2</f>
        <v>378</v>
      </c>
      <c r="R50" s="68">
        <f t="shared" si="15"/>
        <v>1.3755158184319161E-2</v>
      </c>
      <c r="S50" s="69">
        <f t="shared" si="15"/>
        <v>1.7639077340569909E-2</v>
      </c>
      <c r="T50" s="70">
        <f t="shared" si="15"/>
        <v>8.0000000000000071E-3</v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H50:M50 U56 U54 H44:T44 F17:U17 H26:I26 V33:AB33 X36:Y36 F35:U35 V34:Y34 X30:Y30 X29:AB29 X18:Y21 V15:Y16 U26 M26 X17:AB17 X24:Y28 P26:Q26 X35:AB35">
    <cfRule type="cellIs" dxfId="85" priority="13" stopIfTrue="1" operator="equal">
      <formula>0</formula>
    </cfRule>
  </conditionalFormatting>
  <conditionalFormatting sqref="R50:T50">
    <cfRule type="cellIs" dxfId="84" priority="12" stopIfTrue="1" operator="equal">
      <formula>0</formula>
    </cfRule>
  </conditionalFormatting>
  <conditionalFormatting sqref="F12:I12">
    <cfRule type="cellIs" dxfId="83" priority="11" stopIfTrue="1" operator="equal">
      <formula>0</formula>
    </cfRule>
  </conditionalFormatting>
  <conditionalFormatting sqref="V17:W17">
    <cfRule type="cellIs" dxfId="82" priority="10" stopIfTrue="1" operator="equal">
      <formula>0</formula>
    </cfRule>
  </conditionalFormatting>
  <conditionalFormatting sqref="V18:W21">
    <cfRule type="cellIs" dxfId="81" priority="9" stopIfTrue="1" operator="equal">
      <formula>0</formula>
    </cfRule>
  </conditionalFormatting>
  <conditionalFormatting sqref="V24:W30">
    <cfRule type="cellIs" dxfId="80" priority="8" stopIfTrue="1" operator="equal">
      <formula>0</formula>
    </cfRule>
  </conditionalFormatting>
  <conditionalFormatting sqref="F26:G26">
    <cfRule type="cellIs" dxfId="79" priority="7" stopIfTrue="1" operator="equal">
      <formula>0</formula>
    </cfRule>
  </conditionalFormatting>
  <conditionalFormatting sqref="N26:O26">
    <cfRule type="cellIs" dxfId="78" priority="6" stopIfTrue="1" operator="equal">
      <formula>0</formula>
    </cfRule>
  </conditionalFormatting>
  <conditionalFormatting sqref="F44:G44">
    <cfRule type="cellIs" dxfId="77" priority="5" stopIfTrue="1" operator="equal">
      <formula>0</formula>
    </cfRule>
  </conditionalFormatting>
  <conditionalFormatting sqref="N50:O50">
    <cfRule type="cellIs" dxfId="76" priority="4" stopIfTrue="1" operator="equal">
      <formula>0</formula>
    </cfRule>
  </conditionalFormatting>
  <conditionalFormatting sqref="F50:G50">
    <cfRule type="cellIs" dxfId="75" priority="3" stopIfTrue="1" operator="equal">
      <formula>0</formula>
    </cfRule>
  </conditionalFormatting>
  <conditionalFormatting sqref="V35:W36">
    <cfRule type="cellIs" dxfId="74" priority="2" stopIfTrue="1" operator="equal">
      <formula>0</formula>
    </cfRule>
  </conditionalFormatting>
  <conditionalFormatting sqref="P50:Q50">
    <cfRule type="cellIs" dxfId="73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G58"/>
  <sheetViews>
    <sheetView showGridLines="0" topLeftCell="A16" zoomScale="60" zoomScaleNormal="60" workbookViewId="0">
      <selection activeCell="I35" sqref="I35"/>
    </sheetView>
  </sheetViews>
  <sheetFormatPr defaultColWidth="9" defaultRowHeight="15.75" x14ac:dyDescent="0.25"/>
  <cols>
    <col min="1" max="1" width="2.625" style="122" customWidth="1"/>
    <col min="2" max="2" width="18.875" style="122" customWidth="1"/>
    <col min="3" max="3" width="26.375" style="122" customWidth="1"/>
    <col min="4" max="4" width="14.375" style="122" customWidth="1"/>
    <col min="5" max="5" width="3.125" style="122" customWidth="1"/>
    <col min="6" max="9" width="12.375" style="122" customWidth="1"/>
    <col min="10" max="12" width="7" style="122" customWidth="1"/>
    <col min="13" max="13" width="3.1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9" style="122"/>
    <col min="257" max="257" width="2.625" style="122" customWidth="1"/>
    <col min="258" max="258" width="18.875" style="122" customWidth="1"/>
    <col min="259" max="259" width="26.375" style="122" customWidth="1"/>
    <col min="260" max="260" width="14.375" style="122" customWidth="1"/>
    <col min="261" max="261" width="3.125" style="122" customWidth="1"/>
    <col min="262" max="265" width="12.375" style="122" customWidth="1"/>
    <col min="266" max="268" width="7" style="122" customWidth="1"/>
    <col min="269" max="269" width="3.1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9" style="122"/>
    <col min="513" max="513" width="2.625" style="122" customWidth="1"/>
    <col min="514" max="514" width="18.875" style="122" customWidth="1"/>
    <col min="515" max="515" width="26.375" style="122" customWidth="1"/>
    <col min="516" max="516" width="14.375" style="122" customWidth="1"/>
    <col min="517" max="517" width="3.125" style="122" customWidth="1"/>
    <col min="518" max="521" width="12.375" style="122" customWidth="1"/>
    <col min="522" max="524" width="7" style="122" customWidth="1"/>
    <col min="525" max="525" width="3.1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9" style="122"/>
    <col min="769" max="769" width="2.625" style="122" customWidth="1"/>
    <col min="770" max="770" width="18.875" style="122" customWidth="1"/>
    <col min="771" max="771" width="26.375" style="122" customWidth="1"/>
    <col min="772" max="772" width="14.375" style="122" customWidth="1"/>
    <col min="773" max="773" width="3.125" style="122" customWidth="1"/>
    <col min="774" max="777" width="12.375" style="122" customWidth="1"/>
    <col min="778" max="780" width="7" style="122" customWidth="1"/>
    <col min="781" max="781" width="3.1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9" style="122"/>
    <col min="1025" max="1025" width="2.625" style="122" customWidth="1"/>
    <col min="1026" max="1026" width="18.875" style="122" customWidth="1"/>
    <col min="1027" max="1027" width="26.375" style="122" customWidth="1"/>
    <col min="1028" max="1028" width="14.375" style="122" customWidth="1"/>
    <col min="1029" max="1029" width="3.125" style="122" customWidth="1"/>
    <col min="1030" max="1033" width="12.375" style="122" customWidth="1"/>
    <col min="1034" max="1036" width="7" style="122" customWidth="1"/>
    <col min="1037" max="1037" width="3.1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9" style="122"/>
    <col min="1281" max="1281" width="2.625" style="122" customWidth="1"/>
    <col min="1282" max="1282" width="18.875" style="122" customWidth="1"/>
    <col min="1283" max="1283" width="26.375" style="122" customWidth="1"/>
    <col min="1284" max="1284" width="14.375" style="122" customWidth="1"/>
    <col min="1285" max="1285" width="3.125" style="122" customWidth="1"/>
    <col min="1286" max="1289" width="12.375" style="122" customWidth="1"/>
    <col min="1290" max="1292" width="7" style="122" customWidth="1"/>
    <col min="1293" max="1293" width="3.1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9" style="122"/>
    <col min="1537" max="1537" width="2.625" style="122" customWidth="1"/>
    <col min="1538" max="1538" width="18.875" style="122" customWidth="1"/>
    <col min="1539" max="1539" width="26.375" style="122" customWidth="1"/>
    <col min="1540" max="1540" width="14.375" style="122" customWidth="1"/>
    <col min="1541" max="1541" width="3.125" style="122" customWidth="1"/>
    <col min="1542" max="1545" width="12.375" style="122" customWidth="1"/>
    <col min="1546" max="1548" width="7" style="122" customWidth="1"/>
    <col min="1549" max="1549" width="3.1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9" style="122"/>
    <col min="1793" max="1793" width="2.625" style="122" customWidth="1"/>
    <col min="1794" max="1794" width="18.875" style="122" customWidth="1"/>
    <col min="1795" max="1795" width="26.375" style="122" customWidth="1"/>
    <col min="1796" max="1796" width="14.375" style="122" customWidth="1"/>
    <col min="1797" max="1797" width="3.125" style="122" customWidth="1"/>
    <col min="1798" max="1801" width="12.375" style="122" customWidth="1"/>
    <col min="1802" max="1804" width="7" style="122" customWidth="1"/>
    <col min="1805" max="1805" width="3.1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9" style="122"/>
    <col min="2049" max="2049" width="2.625" style="122" customWidth="1"/>
    <col min="2050" max="2050" width="18.875" style="122" customWidth="1"/>
    <col min="2051" max="2051" width="26.375" style="122" customWidth="1"/>
    <col min="2052" max="2052" width="14.375" style="122" customWidth="1"/>
    <col min="2053" max="2053" width="3.125" style="122" customWidth="1"/>
    <col min="2054" max="2057" width="12.375" style="122" customWidth="1"/>
    <col min="2058" max="2060" width="7" style="122" customWidth="1"/>
    <col min="2061" max="2061" width="3.1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9" style="122"/>
    <col min="2305" max="2305" width="2.625" style="122" customWidth="1"/>
    <col min="2306" max="2306" width="18.875" style="122" customWidth="1"/>
    <col min="2307" max="2307" width="26.375" style="122" customWidth="1"/>
    <col min="2308" max="2308" width="14.375" style="122" customWidth="1"/>
    <col min="2309" max="2309" width="3.125" style="122" customWidth="1"/>
    <col min="2310" max="2313" width="12.375" style="122" customWidth="1"/>
    <col min="2314" max="2316" width="7" style="122" customWidth="1"/>
    <col min="2317" max="2317" width="3.1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9" style="122"/>
    <col min="2561" max="2561" width="2.625" style="122" customWidth="1"/>
    <col min="2562" max="2562" width="18.875" style="122" customWidth="1"/>
    <col min="2563" max="2563" width="26.375" style="122" customWidth="1"/>
    <col min="2564" max="2564" width="14.375" style="122" customWidth="1"/>
    <col min="2565" max="2565" width="3.125" style="122" customWidth="1"/>
    <col min="2566" max="2569" width="12.375" style="122" customWidth="1"/>
    <col min="2570" max="2572" width="7" style="122" customWidth="1"/>
    <col min="2573" max="2573" width="3.1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9" style="122"/>
    <col min="2817" max="2817" width="2.625" style="122" customWidth="1"/>
    <col min="2818" max="2818" width="18.875" style="122" customWidth="1"/>
    <col min="2819" max="2819" width="26.375" style="122" customWidth="1"/>
    <col min="2820" max="2820" width="14.375" style="122" customWidth="1"/>
    <col min="2821" max="2821" width="3.125" style="122" customWidth="1"/>
    <col min="2822" max="2825" width="12.375" style="122" customWidth="1"/>
    <col min="2826" max="2828" width="7" style="122" customWidth="1"/>
    <col min="2829" max="2829" width="3.1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9" style="122"/>
    <col min="3073" max="3073" width="2.625" style="122" customWidth="1"/>
    <col min="3074" max="3074" width="18.875" style="122" customWidth="1"/>
    <col min="3075" max="3075" width="26.375" style="122" customWidth="1"/>
    <col min="3076" max="3076" width="14.375" style="122" customWidth="1"/>
    <col min="3077" max="3077" width="3.125" style="122" customWidth="1"/>
    <col min="3078" max="3081" width="12.375" style="122" customWidth="1"/>
    <col min="3082" max="3084" width="7" style="122" customWidth="1"/>
    <col min="3085" max="3085" width="3.1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9" style="122"/>
    <col min="3329" max="3329" width="2.625" style="122" customWidth="1"/>
    <col min="3330" max="3330" width="18.875" style="122" customWidth="1"/>
    <col min="3331" max="3331" width="26.375" style="122" customWidth="1"/>
    <col min="3332" max="3332" width="14.375" style="122" customWidth="1"/>
    <col min="3333" max="3333" width="3.125" style="122" customWidth="1"/>
    <col min="3334" max="3337" width="12.375" style="122" customWidth="1"/>
    <col min="3338" max="3340" width="7" style="122" customWidth="1"/>
    <col min="3341" max="3341" width="3.1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9" style="122"/>
    <col min="3585" max="3585" width="2.625" style="122" customWidth="1"/>
    <col min="3586" max="3586" width="18.875" style="122" customWidth="1"/>
    <col min="3587" max="3587" width="26.375" style="122" customWidth="1"/>
    <col min="3588" max="3588" width="14.375" style="122" customWidth="1"/>
    <col min="3589" max="3589" width="3.125" style="122" customWidth="1"/>
    <col min="3590" max="3593" width="12.375" style="122" customWidth="1"/>
    <col min="3594" max="3596" width="7" style="122" customWidth="1"/>
    <col min="3597" max="3597" width="3.1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9" style="122"/>
    <col min="3841" max="3841" width="2.625" style="122" customWidth="1"/>
    <col min="3842" max="3842" width="18.875" style="122" customWidth="1"/>
    <col min="3843" max="3843" width="26.375" style="122" customWidth="1"/>
    <col min="3844" max="3844" width="14.375" style="122" customWidth="1"/>
    <col min="3845" max="3845" width="3.125" style="122" customWidth="1"/>
    <col min="3846" max="3849" width="12.375" style="122" customWidth="1"/>
    <col min="3850" max="3852" width="7" style="122" customWidth="1"/>
    <col min="3853" max="3853" width="3.1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9" style="122"/>
    <col min="4097" max="4097" width="2.625" style="122" customWidth="1"/>
    <col min="4098" max="4098" width="18.875" style="122" customWidth="1"/>
    <col min="4099" max="4099" width="26.375" style="122" customWidth="1"/>
    <col min="4100" max="4100" width="14.375" style="122" customWidth="1"/>
    <col min="4101" max="4101" width="3.125" style="122" customWidth="1"/>
    <col min="4102" max="4105" width="12.375" style="122" customWidth="1"/>
    <col min="4106" max="4108" width="7" style="122" customWidth="1"/>
    <col min="4109" max="4109" width="3.1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9" style="122"/>
    <col min="4353" max="4353" width="2.625" style="122" customWidth="1"/>
    <col min="4354" max="4354" width="18.875" style="122" customWidth="1"/>
    <col min="4355" max="4355" width="26.375" style="122" customWidth="1"/>
    <col min="4356" max="4356" width="14.375" style="122" customWidth="1"/>
    <col min="4357" max="4357" width="3.125" style="122" customWidth="1"/>
    <col min="4358" max="4361" width="12.375" style="122" customWidth="1"/>
    <col min="4362" max="4364" width="7" style="122" customWidth="1"/>
    <col min="4365" max="4365" width="3.1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9" style="122"/>
    <col min="4609" max="4609" width="2.625" style="122" customWidth="1"/>
    <col min="4610" max="4610" width="18.875" style="122" customWidth="1"/>
    <col min="4611" max="4611" width="26.375" style="122" customWidth="1"/>
    <col min="4612" max="4612" width="14.375" style="122" customWidth="1"/>
    <col min="4613" max="4613" width="3.125" style="122" customWidth="1"/>
    <col min="4614" max="4617" width="12.375" style="122" customWidth="1"/>
    <col min="4618" max="4620" width="7" style="122" customWidth="1"/>
    <col min="4621" max="4621" width="3.1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9" style="122"/>
    <col min="4865" max="4865" width="2.625" style="122" customWidth="1"/>
    <col min="4866" max="4866" width="18.875" style="122" customWidth="1"/>
    <col min="4867" max="4867" width="26.375" style="122" customWidth="1"/>
    <col min="4868" max="4868" width="14.375" style="122" customWidth="1"/>
    <col min="4869" max="4869" width="3.125" style="122" customWidth="1"/>
    <col min="4870" max="4873" width="12.375" style="122" customWidth="1"/>
    <col min="4874" max="4876" width="7" style="122" customWidth="1"/>
    <col min="4877" max="4877" width="3.1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9" style="122"/>
    <col min="5121" max="5121" width="2.625" style="122" customWidth="1"/>
    <col min="5122" max="5122" width="18.875" style="122" customWidth="1"/>
    <col min="5123" max="5123" width="26.375" style="122" customWidth="1"/>
    <col min="5124" max="5124" width="14.375" style="122" customWidth="1"/>
    <col min="5125" max="5125" width="3.125" style="122" customWidth="1"/>
    <col min="5126" max="5129" width="12.375" style="122" customWidth="1"/>
    <col min="5130" max="5132" width="7" style="122" customWidth="1"/>
    <col min="5133" max="5133" width="3.1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9" style="122"/>
    <col min="5377" max="5377" width="2.625" style="122" customWidth="1"/>
    <col min="5378" max="5378" width="18.875" style="122" customWidth="1"/>
    <col min="5379" max="5379" width="26.375" style="122" customWidth="1"/>
    <col min="5380" max="5380" width="14.375" style="122" customWidth="1"/>
    <col min="5381" max="5381" width="3.125" style="122" customWidth="1"/>
    <col min="5382" max="5385" width="12.375" style="122" customWidth="1"/>
    <col min="5386" max="5388" width="7" style="122" customWidth="1"/>
    <col min="5389" max="5389" width="3.1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9" style="122"/>
    <col min="5633" max="5633" width="2.625" style="122" customWidth="1"/>
    <col min="5634" max="5634" width="18.875" style="122" customWidth="1"/>
    <col min="5635" max="5635" width="26.375" style="122" customWidth="1"/>
    <col min="5636" max="5636" width="14.375" style="122" customWidth="1"/>
    <col min="5637" max="5637" width="3.125" style="122" customWidth="1"/>
    <col min="5638" max="5641" width="12.375" style="122" customWidth="1"/>
    <col min="5642" max="5644" width="7" style="122" customWidth="1"/>
    <col min="5645" max="5645" width="3.1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9" style="122"/>
    <col min="5889" max="5889" width="2.625" style="122" customWidth="1"/>
    <col min="5890" max="5890" width="18.875" style="122" customWidth="1"/>
    <col min="5891" max="5891" width="26.375" style="122" customWidth="1"/>
    <col min="5892" max="5892" width="14.375" style="122" customWidth="1"/>
    <col min="5893" max="5893" width="3.125" style="122" customWidth="1"/>
    <col min="5894" max="5897" width="12.375" style="122" customWidth="1"/>
    <col min="5898" max="5900" width="7" style="122" customWidth="1"/>
    <col min="5901" max="5901" width="3.1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9" style="122"/>
    <col min="6145" max="6145" width="2.625" style="122" customWidth="1"/>
    <col min="6146" max="6146" width="18.875" style="122" customWidth="1"/>
    <col min="6147" max="6147" width="26.375" style="122" customWidth="1"/>
    <col min="6148" max="6148" width="14.375" style="122" customWidth="1"/>
    <col min="6149" max="6149" width="3.125" style="122" customWidth="1"/>
    <col min="6150" max="6153" width="12.375" style="122" customWidth="1"/>
    <col min="6154" max="6156" width="7" style="122" customWidth="1"/>
    <col min="6157" max="6157" width="3.1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9" style="122"/>
    <col min="6401" max="6401" width="2.625" style="122" customWidth="1"/>
    <col min="6402" max="6402" width="18.875" style="122" customWidth="1"/>
    <col min="6403" max="6403" width="26.375" style="122" customWidth="1"/>
    <col min="6404" max="6404" width="14.375" style="122" customWidth="1"/>
    <col min="6405" max="6405" width="3.125" style="122" customWidth="1"/>
    <col min="6406" max="6409" width="12.375" style="122" customWidth="1"/>
    <col min="6410" max="6412" width="7" style="122" customWidth="1"/>
    <col min="6413" max="6413" width="3.1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9" style="122"/>
    <col min="6657" max="6657" width="2.625" style="122" customWidth="1"/>
    <col min="6658" max="6658" width="18.875" style="122" customWidth="1"/>
    <col min="6659" max="6659" width="26.375" style="122" customWidth="1"/>
    <col min="6660" max="6660" width="14.375" style="122" customWidth="1"/>
    <col min="6661" max="6661" width="3.125" style="122" customWidth="1"/>
    <col min="6662" max="6665" width="12.375" style="122" customWidth="1"/>
    <col min="6666" max="6668" width="7" style="122" customWidth="1"/>
    <col min="6669" max="6669" width="3.1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9" style="122"/>
    <col min="6913" max="6913" width="2.625" style="122" customWidth="1"/>
    <col min="6914" max="6914" width="18.875" style="122" customWidth="1"/>
    <col min="6915" max="6915" width="26.375" style="122" customWidth="1"/>
    <col min="6916" max="6916" width="14.375" style="122" customWidth="1"/>
    <col min="6917" max="6917" width="3.125" style="122" customWidth="1"/>
    <col min="6918" max="6921" width="12.375" style="122" customWidth="1"/>
    <col min="6922" max="6924" width="7" style="122" customWidth="1"/>
    <col min="6925" max="6925" width="3.1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9" style="122"/>
    <col min="7169" max="7169" width="2.625" style="122" customWidth="1"/>
    <col min="7170" max="7170" width="18.875" style="122" customWidth="1"/>
    <col min="7171" max="7171" width="26.375" style="122" customWidth="1"/>
    <col min="7172" max="7172" width="14.375" style="122" customWidth="1"/>
    <col min="7173" max="7173" width="3.125" style="122" customWidth="1"/>
    <col min="7174" max="7177" width="12.375" style="122" customWidth="1"/>
    <col min="7178" max="7180" width="7" style="122" customWidth="1"/>
    <col min="7181" max="7181" width="3.1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9" style="122"/>
    <col min="7425" max="7425" width="2.625" style="122" customWidth="1"/>
    <col min="7426" max="7426" width="18.875" style="122" customWidth="1"/>
    <col min="7427" max="7427" width="26.375" style="122" customWidth="1"/>
    <col min="7428" max="7428" width="14.375" style="122" customWidth="1"/>
    <col min="7429" max="7429" width="3.125" style="122" customWidth="1"/>
    <col min="7430" max="7433" width="12.375" style="122" customWidth="1"/>
    <col min="7434" max="7436" width="7" style="122" customWidth="1"/>
    <col min="7437" max="7437" width="3.1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9" style="122"/>
    <col min="7681" max="7681" width="2.625" style="122" customWidth="1"/>
    <col min="7682" max="7682" width="18.875" style="122" customWidth="1"/>
    <col min="7683" max="7683" width="26.375" style="122" customWidth="1"/>
    <col min="7684" max="7684" width="14.375" style="122" customWidth="1"/>
    <col min="7685" max="7685" width="3.125" style="122" customWidth="1"/>
    <col min="7686" max="7689" width="12.375" style="122" customWidth="1"/>
    <col min="7690" max="7692" width="7" style="122" customWidth="1"/>
    <col min="7693" max="7693" width="3.1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9" style="122"/>
    <col min="7937" max="7937" width="2.625" style="122" customWidth="1"/>
    <col min="7938" max="7938" width="18.875" style="122" customWidth="1"/>
    <col min="7939" max="7939" width="26.375" style="122" customWidth="1"/>
    <col min="7940" max="7940" width="14.375" style="122" customWidth="1"/>
    <col min="7941" max="7941" width="3.125" style="122" customWidth="1"/>
    <col min="7942" max="7945" width="12.375" style="122" customWidth="1"/>
    <col min="7946" max="7948" width="7" style="122" customWidth="1"/>
    <col min="7949" max="7949" width="3.1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9" style="122"/>
    <col min="8193" max="8193" width="2.625" style="122" customWidth="1"/>
    <col min="8194" max="8194" width="18.875" style="122" customWidth="1"/>
    <col min="8195" max="8195" width="26.375" style="122" customWidth="1"/>
    <col min="8196" max="8196" width="14.375" style="122" customWidth="1"/>
    <col min="8197" max="8197" width="3.125" style="122" customWidth="1"/>
    <col min="8198" max="8201" width="12.375" style="122" customWidth="1"/>
    <col min="8202" max="8204" width="7" style="122" customWidth="1"/>
    <col min="8205" max="8205" width="3.1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9" style="122"/>
    <col min="8449" max="8449" width="2.625" style="122" customWidth="1"/>
    <col min="8450" max="8450" width="18.875" style="122" customWidth="1"/>
    <col min="8451" max="8451" width="26.375" style="122" customWidth="1"/>
    <col min="8452" max="8452" width="14.375" style="122" customWidth="1"/>
    <col min="8453" max="8453" width="3.125" style="122" customWidth="1"/>
    <col min="8454" max="8457" width="12.375" style="122" customWidth="1"/>
    <col min="8458" max="8460" width="7" style="122" customWidth="1"/>
    <col min="8461" max="8461" width="3.1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9" style="122"/>
    <col min="8705" max="8705" width="2.625" style="122" customWidth="1"/>
    <col min="8706" max="8706" width="18.875" style="122" customWidth="1"/>
    <col min="8707" max="8707" width="26.375" style="122" customWidth="1"/>
    <col min="8708" max="8708" width="14.375" style="122" customWidth="1"/>
    <col min="8709" max="8709" width="3.125" style="122" customWidth="1"/>
    <col min="8710" max="8713" width="12.375" style="122" customWidth="1"/>
    <col min="8714" max="8716" width="7" style="122" customWidth="1"/>
    <col min="8717" max="8717" width="3.1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9" style="122"/>
    <col min="8961" max="8961" width="2.625" style="122" customWidth="1"/>
    <col min="8962" max="8962" width="18.875" style="122" customWidth="1"/>
    <col min="8963" max="8963" width="26.375" style="122" customWidth="1"/>
    <col min="8964" max="8964" width="14.375" style="122" customWidth="1"/>
    <col min="8965" max="8965" width="3.125" style="122" customWidth="1"/>
    <col min="8966" max="8969" width="12.375" style="122" customWidth="1"/>
    <col min="8970" max="8972" width="7" style="122" customWidth="1"/>
    <col min="8973" max="8973" width="3.1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9" style="122"/>
    <col min="9217" max="9217" width="2.625" style="122" customWidth="1"/>
    <col min="9218" max="9218" width="18.875" style="122" customWidth="1"/>
    <col min="9219" max="9219" width="26.375" style="122" customWidth="1"/>
    <col min="9220" max="9220" width="14.375" style="122" customWidth="1"/>
    <col min="9221" max="9221" width="3.125" style="122" customWidth="1"/>
    <col min="9222" max="9225" width="12.375" style="122" customWidth="1"/>
    <col min="9226" max="9228" width="7" style="122" customWidth="1"/>
    <col min="9229" max="9229" width="3.1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9" style="122"/>
    <col min="9473" max="9473" width="2.625" style="122" customWidth="1"/>
    <col min="9474" max="9474" width="18.875" style="122" customWidth="1"/>
    <col min="9475" max="9475" width="26.375" style="122" customWidth="1"/>
    <col min="9476" max="9476" width="14.375" style="122" customWidth="1"/>
    <col min="9477" max="9477" width="3.125" style="122" customWidth="1"/>
    <col min="9478" max="9481" width="12.375" style="122" customWidth="1"/>
    <col min="9482" max="9484" width="7" style="122" customWidth="1"/>
    <col min="9485" max="9485" width="3.1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9" style="122"/>
    <col min="9729" max="9729" width="2.625" style="122" customWidth="1"/>
    <col min="9730" max="9730" width="18.875" style="122" customWidth="1"/>
    <col min="9731" max="9731" width="26.375" style="122" customWidth="1"/>
    <col min="9732" max="9732" width="14.375" style="122" customWidth="1"/>
    <col min="9733" max="9733" width="3.125" style="122" customWidth="1"/>
    <col min="9734" max="9737" width="12.375" style="122" customWidth="1"/>
    <col min="9738" max="9740" width="7" style="122" customWidth="1"/>
    <col min="9741" max="9741" width="3.1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9" style="122"/>
    <col min="9985" max="9985" width="2.625" style="122" customWidth="1"/>
    <col min="9986" max="9986" width="18.875" style="122" customWidth="1"/>
    <col min="9987" max="9987" width="26.375" style="122" customWidth="1"/>
    <col min="9988" max="9988" width="14.375" style="122" customWidth="1"/>
    <col min="9989" max="9989" width="3.125" style="122" customWidth="1"/>
    <col min="9990" max="9993" width="12.375" style="122" customWidth="1"/>
    <col min="9994" max="9996" width="7" style="122" customWidth="1"/>
    <col min="9997" max="9997" width="3.1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9" style="122"/>
    <col min="10241" max="10241" width="2.625" style="122" customWidth="1"/>
    <col min="10242" max="10242" width="18.875" style="122" customWidth="1"/>
    <col min="10243" max="10243" width="26.375" style="122" customWidth="1"/>
    <col min="10244" max="10244" width="14.375" style="122" customWidth="1"/>
    <col min="10245" max="10245" width="3.125" style="122" customWidth="1"/>
    <col min="10246" max="10249" width="12.375" style="122" customWidth="1"/>
    <col min="10250" max="10252" width="7" style="122" customWidth="1"/>
    <col min="10253" max="10253" width="3.1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9" style="122"/>
    <col min="10497" max="10497" width="2.625" style="122" customWidth="1"/>
    <col min="10498" max="10498" width="18.875" style="122" customWidth="1"/>
    <col min="10499" max="10499" width="26.375" style="122" customWidth="1"/>
    <col min="10500" max="10500" width="14.375" style="122" customWidth="1"/>
    <col min="10501" max="10501" width="3.125" style="122" customWidth="1"/>
    <col min="10502" max="10505" width="12.375" style="122" customWidth="1"/>
    <col min="10506" max="10508" width="7" style="122" customWidth="1"/>
    <col min="10509" max="10509" width="3.1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9" style="122"/>
    <col min="10753" max="10753" width="2.625" style="122" customWidth="1"/>
    <col min="10754" max="10754" width="18.875" style="122" customWidth="1"/>
    <col min="10755" max="10755" width="26.375" style="122" customWidth="1"/>
    <col min="10756" max="10756" width="14.375" style="122" customWidth="1"/>
    <col min="10757" max="10757" width="3.125" style="122" customWidth="1"/>
    <col min="10758" max="10761" width="12.375" style="122" customWidth="1"/>
    <col min="10762" max="10764" width="7" style="122" customWidth="1"/>
    <col min="10765" max="10765" width="3.1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9" style="122"/>
    <col min="11009" max="11009" width="2.625" style="122" customWidth="1"/>
    <col min="11010" max="11010" width="18.875" style="122" customWidth="1"/>
    <col min="11011" max="11011" width="26.375" style="122" customWidth="1"/>
    <col min="11012" max="11012" width="14.375" style="122" customWidth="1"/>
    <col min="11013" max="11013" width="3.125" style="122" customWidth="1"/>
    <col min="11014" max="11017" width="12.375" style="122" customWidth="1"/>
    <col min="11018" max="11020" width="7" style="122" customWidth="1"/>
    <col min="11021" max="11021" width="3.1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9" style="122"/>
    <col min="11265" max="11265" width="2.625" style="122" customWidth="1"/>
    <col min="11266" max="11266" width="18.875" style="122" customWidth="1"/>
    <col min="11267" max="11267" width="26.375" style="122" customWidth="1"/>
    <col min="11268" max="11268" width="14.375" style="122" customWidth="1"/>
    <col min="11269" max="11269" width="3.125" style="122" customWidth="1"/>
    <col min="11270" max="11273" width="12.375" style="122" customWidth="1"/>
    <col min="11274" max="11276" width="7" style="122" customWidth="1"/>
    <col min="11277" max="11277" width="3.1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9" style="122"/>
    <col min="11521" max="11521" width="2.625" style="122" customWidth="1"/>
    <col min="11522" max="11522" width="18.875" style="122" customWidth="1"/>
    <col min="11523" max="11523" width="26.375" style="122" customWidth="1"/>
    <col min="11524" max="11524" width="14.375" style="122" customWidth="1"/>
    <col min="11525" max="11525" width="3.125" style="122" customWidth="1"/>
    <col min="11526" max="11529" width="12.375" style="122" customWidth="1"/>
    <col min="11530" max="11532" width="7" style="122" customWidth="1"/>
    <col min="11533" max="11533" width="3.1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9" style="122"/>
    <col min="11777" max="11777" width="2.625" style="122" customWidth="1"/>
    <col min="11778" max="11778" width="18.875" style="122" customWidth="1"/>
    <col min="11779" max="11779" width="26.375" style="122" customWidth="1"/>
    <col min="11780" max="11780" width="14.375" style="122" customWidth="1"/>
    <col min="11781" max="11781" width="3.125" style="122" customWidth="1"/>
    <col min="11782" max="11785" width="12.375" style="122" customWidth="1"/>
    <col min="11786" max="11788" width="7" style="122" customWidth="1"/>
    <col min="11789" max="11789" width="3.1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9" style="122"/>
    <col min="12033" max="12033" width="2.625" style="122" customWidth="1"/>
    <col min="12034" max="12034" width="18.875" style="122" customWidth="1"/>
    <col min="12035" max="12035" width="26.375" style="122" customWidth="1"/>
    <col min="12036" max="12036" width="14.375" style="122" customWidth="1"/>
    <col min="12037" max="12037" width="3.125" style="122" customWidth="1"/>
    <col min="12038" max="12041" width="12.375" style="122" customWidth="1"/>
    <col min="12042" max="12044" width="7" style="122" customWidth="1"/>
    <col min="12045" max="12045" width="3.1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9" style="122"/>
    <col min="12289" max="12289" width="2.625" style="122" customWidth="1"/>
    <col min="12290" max="12290" width="18.875" style="122" customWidth="1"/>
    <col min="12291" max="12291" width="26.375" style="122" customWidth="1"/>
    <col min="12292" max="12292" width="14.375" style="122" customWidth="1"/>
    <col min="12293" max="12293" width="3.125" style="122" customWidth="1"/>
    <col min="12294" max="12297" width="12.375" style="122" customWidth="1"/>
    <col min="12298" max="12300" width="7" style="122" customWidth="1"/>
    <col min="12301" max="12301" width="3.1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9" style="122"/>
    <col min="12545" max="12545" width="2.625" style="122" customWidth="1"/>
    <col min="12546" max="12546" width="18.875" style="122" customWidth="1"/>
    <col min="12547" max="12547" width="26.375" style="122" customWidth="1"/>
    <col min="12548" max="12548" width="14.375" style="122" customWidth="1"/>
    <col min="12549" max="12549" width="3.125" style="122" customWidth="1"/>
    <col min="12550" max="12553" width="12.375" style="122" customWidth="1"/>
    <col min="12554" max="12556" width="7" style="122" customWidth="1"/>
    <col min="12557" max="12557" width="3.1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9" style="122"/>
    <col min="12801" max="12801" width="2.625" style="122" customWidth="1"/>
    <col min="12802" max="12802" width="18.875" style="122" customWidth="1"/>
    <col min="12803" max="12803" width="26.375" style="122" customWidth="1"/>
    <col min="12804" max="12804" width="14.375" style="122" customWidth="1"/>
    <col min="12805" max="12805" width="3.125" style="122" customWidth="1"/>
    <col min="12806" max="12809" width="12.375" style="122" customWidth="1"/>
    <col min="12810" max="12812" width="7" style="122" customWidth="1"/>
    <col min="12813" max="12813" width="3.1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9" style="122"/>
    <col min="13057" max="13057" width="2.625" style="122" customWidth="1"/>
    <col min="13058" max="13058" width="18.875" style="122" customWidth="1"/>
    <col min="13059" max="13059" width="26.375" style="122" customWidth="1"/>
    <col min="13060" max="13060" width="14.375" style="122" customWidth="1"/>
    <col min="13061" max="13061" width="3.125" style="122" customWidth="1"/>
    <col min="13062" max="13065" width="12.375" style="122" customWidth="1"/>
    <col min="13066" max="13068" width="7" style="122" customWidth="1"/>
    <col min="13069" max="13069" width="3.1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9" style="122"/>
    <col min="13313" max="13313" width="2.625" style="122" customWidth="1"/>
    <col min="13314" max="13314" width="18.875" style="122" customWidth="1"/>
    <col min="13315" max="13315" width="26.375" style="122" customWidth="1"/>
    <col min="13316" max="13316" width="14.375" style="122" customWidth="1"/>
    <col min="13317" max="13317" width="3.125" style="122" customWidth="1"/>
    <col min="13318" max="13321" width="12.375" style="122" customWidth="1"/>
    <col min="13322" max="13324" width="7" style="122" customWidth="1"/>
    <col min="13325" max="13325" width="3.1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9" style="122"/>
    <col min="13569" max="13569" width="2.625" style="122" customWidth="1"/>
    <col min="13570" max="13570" width="18.875" style="122" customWidth="1"/>
    <col min="13571" max="13571" width="26.375" style="122" customWidth="1"/>
    <col min="13572" max="13572" width="14.375" style="122" customWidth="1"/>
    <col min="13573" max="13573" width="3.125" style="122" customWidth="1"/>
    <col min="13574" max="13577" width="12.375" style="122" customWidth="1"/>
    <col min="13578" max="13580" width="7" style="122" customWidth="1"/>
    <col min="13581" max="13581" width="3.1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9" style="122"/>
    <col min="13825" max="13825" width="2.625" style="122" customWidth="1"/>
    <col min="13826" max="13826" width="18.875" style="122" customWidth="1"/>
    <col min="13827" max="13827" width="26.375" style="122" customWidth="1"/>
    <col min="13828" max="13828" width="14.375" style="122" customWidth="1"/>
    <col min="13829" max="13829" width="3.125" style="122" customWidth="1"/>
    <col min="13830" max="13833" width="12.375" style="122" customWidth="1"/>
    <col min="13834" max="13836" width="7" style="122" customWidth="1"/>
    <col min="13837" max="13837" width="3.1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9" style="122"/>
    <col min="14081" max="14081" width="2.625" style="122" customWidth="1"/>
    <col min="14082" max="14082" width="18.875" style="122" customWidth="1"/>
    <col min="14083" max="14083" width="26.375" style="122" customWidth="1"/>
    <col min="14084" max="14084" width="14.375" style="122" customWidth="1"/>
    <col min="14085" max="14085" width="3.125" style="122" customWidth="1"/>
    <col min="14086" max="14089" width="12.375" style="122" customWidth="1"/>
    <col min="14090" max="14092" width="7" style="122" customWidth="1"/>
    <col min="14093" max="14093" width="3.1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9" style="122"/>
    <col min="14337" max="14337" width="2.625" style="122" customWidth="1"/>
    <col min="14338" max="14338" width="18.875" style="122" customWidth="1"/>
    <col min="14339" max="14339" width="26.375" style="122" customWidth="1"/>
    <col min="14340" max="14340" width="14.375" style="122" customWidth="1"/>
    <col min="14341" max="14341" width="3.125" style="122" customWidth="1"/>
    <col min="14342" max="14345" width="12.375" style="122" customWidth="1"/>
    <col min="14346" max="14348" width="7" style="122" customWidth="1"/>
    <col min="14349" max="14349" width="3.1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9" style="122"/>
    <col min="14593" max="14593" width="2.625" style="122" customWidth="1"/>
    <col min="14594" max="14594" width="18.875" style="122" customWidth="1"/>
    <col min="14595" max="14595" width="26.375" style="122" customWidth="1"/>
    <col min="14596" max="14596" width="14.375" style="122" customWidth="1"/>
    <col min="14597" max="14597" width="3.125" style="122" customWidth="1"/>
    <col min="14598" max="14601" width="12.375" style="122" customWidth="1"/>
    <col min="14602" max="14604" width="7" style="122" customWidth="1"/>
    <col min="14605" max="14605" width="3.1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9" style="122"/>
    <col min="14849" max="14849" width="2.625" style="122" customWidth="1"/>
    <col min="14850" max="14850" width="18.875" style="122" customWidth="1"/>
    <col min="14851" max="14851" width="26.375" style="122" customWidth="1"/>
    <col min="14852" max="14852" width="14.375" style="122" customWidth="1"/>
    <col min="14853" max="14853" width="3.125" style="122" customWidth="1"/>
    <col min="14854" max="14857" width="12.375" style="122" customWidth="1"/>
    <col min="14858" max="14860" width="7" style="122" customWidth="1"/>
    <col min="14861" max="14861" width="3.1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9" style="122"/>
    <col min="15105" max="15105" width="2.625" style="122" customWidth="1"/>
    <col min="15106" max="15106" width="18.875" style="122" customWidth="1"/>
    <col min="15107" max="15107" width="26.375" style="122" customWidth="1"/>
    <col min="15108" max="15108" width="14.375" style="122" customWidth="1"/>
    <col min="15109" max="15109" width="3.125" style="122" customWidth="1"/>
    <col min="15110" max="15113" width="12.375" style="122" customWidth="1"/>
    <col min="15114" max="15116" width="7" style="122" customWidth="1"/>
    <col min="15117" max="15117" width="3.1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9" style="122"/>
    <col min="15361" max="15361" width="2.625" style="122" customWidth="1"/>
    <col min="15362" max="15362" width="18.875" style="122" customWidth="1"/>
    <col min="15363" max="15363" width="26.375" style="122" customWidth="1"/>
    <col min="15364" max="15364" width="14.375" style="122" customWidth="1"/>
    <col min="15365" max="15365" width="3.125" style="122" customWidth="1"/>
    <col min="15366" max="15369" width="12.375" style="122" customWidth="1"/>
    <col min="15370" max="15372" width="7" style="122" customWidth="1"/>
    <col min="15373" max="15373" width="3.1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9" style="122"/>
    <col min="15617" max="15617" width="2.625" style="122" customWidth="1"/>
    <col min="15618" max="15618" width="18.875" style="122" customWidth="1"/>
    <col min="15619" max="15619" width="26.375" style="122" customWidth="1"/>
    <col min="15620" max="15620" width="14.375" style="122" customWidth="1"/>
    <col min="15621" max="15621" width="3.125" style="122" customWidth="1"/>
    <col min="15622" max="15625" width="12.375" style="122" customWidth="1"/>
    <col min="15626" max="15628" width="7" style="122" customWidth="1"/>
    <col min="15629" max="15629" width="3.1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9" style="122"/>
    <col min="15873" max="15873" width="2.625" style="122" customWidth="1"/>
    <col min="15874" max="15874" width="18.875" style="122" customWidth="1"/>
    <col min="15875" max="15875" width="26.375" style="122" customWidth="1"/>
    <col min="15876" max="15876" width="14.375" style="122" customWidth="1"/>
    <col min="15877" max="15877" width="3.125" style="122" customWidth="1"/>
    <col min="15878" max="15881" width="12.375" style="122" customWidth="1"/>
    <col min="15882" max="15884" width="7" style="122" customWidth="1"/>
    <col min="15885" max="15885" width="3.1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9" style="122"/>
    <col min="16129" max="16129" width="2.625" style="122" customWidth="1"/>
    <col min="16130" max="16130" width="18.875" style="122" customWidth="1"/>
    <col min="16131" max="16131" width="26.375" style="122" customWidth="1"/>
    <col min="16132" max="16132" width="14.375" style="122" customWidth="1"/>
    <col min="16133" max="16133" width="3.125" style="122" customWidth="1"/>
    <col min="16134" max="16137" width="12.375" style="122" customWidth="1"/>
    <col min="16138" max="16140" width="7" style="122" customWidth="1"/>
    <col min="16141" max="16141" width="3.1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9" style="122"/>
  </cols>
  <sheetData>
    <row r="1" spans="1:29" s="10" customFormat="1" ht="57.75" customHeight="1" x14ac:dyDescent="0.25">
      <c r="A1" s="117" t="s">
        <v>48</v>
      </c>
      <c r="B1" s="36"/>
      <c r="C1" s="35"/>
      <c r="D1" s="408" t="s">
        <v>49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48</v>
      </c>
    </row>
    <row r="2" spans="1:29" s="10" customFormat="1" ht="24.75" customHeight="1" thickBot="1" x14ac:dyDescent="0.3"/>
    <row r="3" spans="1:29" ht="47.25" customHeight="1" thickBot="1" x14ac:dyDescent="0.3">
      <c r="A3" s="409" t="s">
        <v>50</v>
      </c>
      <c r="B3" s="410"/>
      <c r="C3" s="411" t="s">
        <v>51</v>
      </c>
      <c r="D3" s="412"/>
      <c r="E3" s="121"/>
      <c r="H3" s="141"/>
      <c r="L3" s="114" t="s">
        <v>89</v>
      </c>
    </row>
    <row r="4" spans="1:29" ht="24.75" customHeight="1" thickBot="1" x14ac:dyDescent="0.3">
      <c r="C4" s="7"/>
      <c r="D4" s="7"/>
      <c r="E4" s="42"/>
      <c r="F4" s="142"/>
      <c r="G4" s="142"/>
      <c r="H4" s="128" t="s">
        <v>28</v>
      </c>
      <c r="I4" s="112"/>
      <c r="J4" s="112"/>
      <c r="K4" s="112"/>
      <c r="L4" s="113" t="s">
        <v>52</v>
      </c>
      <c r="M4" s="112"/>
      <c r="N4" s="112"/>
      <c r="O4" s="112"/>
      <c r="P4" s="128" t="s">
        <v>29</v>
      </c>
    </row>
    <row r="5" spans="1:29" ht="47.25" customHeight="1" thickBot="1" x14ac:dyDescent="0.3">
      <c r="A5" s="409" t="s">
        <v>53</v>
      </c>
      <c r="B5" s="410"/>
      <c r="C5" s="411" t="s">
        <v>54</v>
      </c>
      <c r="D5" s="412"/>
      <c r="E5" s="2"/>
      <c r="F5" s="142"/>
      <c r="G5" s="142"/>
      <c r="H5" s="142"/>
      <c r="I5" s="142"/>
    </row>
    <row r="6" spans="1:29" ht="24.75" customHeight="1" x14ac:dyDescent="0.25">
      <c r="A6" s="2"/>
      <c r="B6" s="2"/>
      <c r="E6" s="2"/>
      <c r="F6" s="422" t="s">
        <v>55</v>
      </c>
      <c r="G6" s="422"/>
      <c r="H6" s="422"/>
      <c r="I6" s="422"/>
      <c r="J6" s="422"/>
      <c r="K6" s="422"/>
      <c r="L6" s="422"/>
      <c r="N6" s="422" t="s">
        <v>56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</row>
    <row r="7" spans="1:29" ht="24.75" customHeight="1" x14ac:dyDescent="0.25">
      <c r="A7" s="37" t="s">
        <v>57</v>
      </c>
      <c r="B7" s="13"/>
      <c r="C7" s="129"/>
      <c r="D7" s="39" t="str">
        <f ca="1">IF(MONTH(TODAY())&lt;6,"( en Nov-Dec   -   Prévision Mars )","( en Mai-Juin   -   Prévision Novembre)")</f>
        <v>( en Mai-Juin   -   Prévision Novembre)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1"/>
      <c r="O7" s="421"/>
      <c r="P7" s="421"/>
      <c r="Q7" s="421"/>
      <c r="R7" s="20"/>
      <c r="S7" s="24"/>
      <c r="T7" s="20"/>
      <c r="U7" s="20"/>
      <c r="V7" s="421"/>
      <c r="W7" s="421"/>
      <c r="X7" s="421"/>
      <c r="Y7" s="421"/>
      <c r="Z7" s="20"/>
      <c r="AA7" s="24"/>
      <c r="AB7" s="20"/>
      <c r="AC7" s="25"/>
    </row>
    <row r="8" spans="1:29" ht="24.75" customHeight="1" x14ac:dyDescent="0.25">
      <c r="A8" s="12"/>
      <c r="B8" s="13"/>
      <c r="C8" s="13"/>
      <c r="D8" s="110" t="s">
        <v>58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20"/>
      <c r="V8" s="421"/>
      <c r="W8" s="421"/>
      <c r="X8" s="421"/>
      <c r="Y8" s="421"/>
      <c r="Z8" s="26"/>
      <c r="AA8" s="26"/>
      <c r="AB8" s="26"/>
      <c r="AC8" s="46"/>
    </row>
    <row r="9" spans="1:29" ht="24.75" customHeight="1" x14ac:dyDescent="0.25">
      <c r="A9" s="2"/>
      <c r="B9" s="27" t="s">
        <v>59</v>
      </c>
      <c r="C9" s="2"/>
      <c r="D9" s="2"/>
      <c r="E9" s="2"/>
      <c r="F9" s="71">
        <v>19462.900000000001</v>
      </c>
      <c r="G9" s="72">
        <v>19559.3</v>
      </c>
      <c r="H9" s="72">
        <v>19432.72</v>
      </c>
      <c r="I9" s="73">
        <f>H9*0.99</f>
        <v>19238.392800000001</v>
      </c>
      <c r="J9" s="56">
        <f t="shared" ref="J9:L12" si="0">IF(OR(G9=0,F9=0),"",G9/F9-1)</f>
        <v>4.9530131686437162E-3</v>
      </c>
      <c r="K9" s="57">
        <f t="shared" si="0"/>
        <v>-6.4716017444386154E-3</v>
      </c>
      <c r="L9" s="58">
        <f t="shared" si="0"/>
        <v>-1.0000000000000009E-2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</row>
    <row r="10" spans="1:29" ht="24.75" customHeight="1" x14ac:dyDescent="0.25">
      <c r="A10" s="2"/>
      <c r="C10" s="40" t="s">
        <v>60</v>
      </c>
      <c r="D10" s="2"/>
      <c r="E10" s="2"/>
      <c r="F10" s="74">
        <v>3605.9</v>
      </c>
      <c r="G10" s="75">
        <v>3575.51</v>
      </c>
      <c r="H10" s="75">
        <v>3551.71</v>
      </c>
      <c r="I10" s="76">
        <f>H10*0.993</f>
        <v>3526.8480300000001</v>
      </c>
      <c r="J10" s="59">
        <f t="shared" si="0"/>
        <v>-8.4278543498155223E-3</v>
      </c>
      <c r="K10" s="60">
        <f t="shared" si="0"/>
        <v>-6.656393073995126E-3</v>
      </c>
      <c r="L10" s="61">
        <f t="shared" si="0"/>
        <v>-7.0000000000000062E-3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</row>
    <row r="11" spans="1:29" ht="24.75" customHeight="1" x14ac:dyDescent="0.25">
      <c r="A11" s="2"/>
      <c r="C11" s="50" t="s">
        <v>61</v>
      </c>
      <c r="D11" s="50"/>
      <c r="E11" s="2"/>
      <c r="F11" s="74">
        <v>4202.8</v>
      </c>
      <c r="G11" s="75">
        <v>4262.59</v>
      </c>
      <c r="H11" s="75">
        <v>4259.2700000000004</v>
      </c>
      <c r="I11" s="76">
        <f>H11*0.988</f>
        <v>4208.1587600000003</v>
      </c>
      <c r="J11" s="59">
        <f t="shared" si="0"/>
        <v>1.422623013229285E-2</v>
      </c>
      <c r="K11" s="60">
        <f t="shared" si="0"/>
        <v>-7.7886918516667514E-4</v>
      </c>
      <c r="L11" s="61">
        <f t="shared" si="0"/>
        <v>-1.2000000000000011E-2</v>
      </c>
      <c r="P11" s="142"/>
    </row>
    <row r="12" spans="1:29" ht="24.75" customHeight="1" x14ac:dyDescent="0.25">
      <c r="A12" s="2"/>
      <c r="C12" s="41" t="s">
        <v>62</v>
      </c>
      <c r="D12" s="2"/>
      <c r="E12" s="2"/>
      <c r="F12" s="98">
        <f>+F10+F11</f>
        <v>7808.7000000000007</v>
      </c>
      <c r="G12" s="99">
        <f>+G10+G11</f>
        <v>7838.1</v>
      </c>
      <c r="H12" s="99">
        <f>+H10+H11</f>
        <v>7810.9800000000005</v>
      </c>
      <c r="I12" s="100">
        <f>+I10+I11</f>
        <v>7735.0067900000004</v>
      </c>
      <c r="J12" s="59">
        <f t="shared" si="0"/>
        <v>3.7650313112296274E-3</v>
      </c>
      <c r="K12" s="60">
        <f t="shared" si="0"/>
        <v>-3.4600221992574509E-3</v>
      </c>
      <c r="L12" s="61">
        <f t="shared" si="0"/>
        <v>-9.726463260692042E-3</v>
      </c>
      <c r="N12" s="143"/>
      <c r="O12" s="143"/>
      <c r="P12" s="143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</row>
    <row r="13" spans="1:29" ht="24.75" customHeight="1" x14ac:dyDescent="0.25">
      <c r="A13" s="38" t="s">
        <v>63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3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3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</row>
    <row r="14" spans="1:29" ht="24.75" customHeight="1" x14ac:dyDescent="0.25">
      <c r="A14" s="15"/>
      <c r="B14" s="13"/>
      <c r="C14" s="13"/>
      <c r="D14" s="111" t="s">
        <v>64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3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3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</row>
    <row r="15" spans="1:29" ht="24.75" customHeight="1" x14ac:dyDescent="0.25">
      <c r="A15" s="3"/>
      <c r="B15" s="3"/>
      <c r="C15" s="42" t="s">
        <v>65</v>
      </c>
      <c r="D15" s="42"/>
      <c r="E15" s="2"/>
      <c r="F15" s="77">
        <v>716.47172990000001</v>
      </c>
      <c r="G15" s="78">
        <v>728.69452661773266</v>
      </c>
      <c r="H15" s="78">
        <v>710.37478990615659</v>
      </c>
      <c r="I15" s="79">
        <v>711</v>
      </c>
      <c r="J15" s="62">
        <f t="shared" ref="J15:L21" si="1">IF(OR(G15=0,F15=0),"",G15/F15-1)</f>
        <v>1.7059705509160361E-2</v>
      </c>
      <c r="K15" s="63">
        <f t="shared" si="1"/>
        <v>-2.5140488973627861E-2</v>
      </c>
      <c r="L15" s="64">
        <f t="shared" si="1"/>
        <v>8.8011300897372635E-4</v>
      </c>
      <c r="N15" s="77">
        <v>113.57127702</v>
      </c>
      <c r="O15" s="78">
        <v>112.18996537817461</v>
      </c>
      <c r="P15" s="78">
        <v>112.15510575293263</v>
      </c>
      <c r="Q15" s="79"/>
      <c r="R15" s="62">
        <f t="shared" ref="R15:T21" si="2">IF(OR(O15=0,N15=0),"",O15/N15-1)</f>
        <v>-1.2162508673580708E-2</v>
      </c>
      <c r="S15" s="63">
        <f t="shared" si="2"/>
        <v>-3.1071963632822719E-4</v>
      </c>
      <c r="T15" s="64" t="str">
        <f t="shared" si="2"/>
        <v/>
      </c>
      <c r="V15" s="86">
        <f>+F15+N15</f>
        <v>830.04300692000004</v>
      </c>
      <c r="W15" s="87">
        <f t="shared" ref="W15:Y21" si="3">+G15+O15</f>
        <v>840.8844919959073</v>
      </c>
      <c r="X15" s="87">
        <f t="shared" si="3"/>
        <v>822.52989565908922</v>
      </c>
      <c r="Y15" s="88">
        <f>+I15+Q15</f>
        <v>711</v>
      </c>
      <c r="Z15" s="59">
        <f t="shared" ref="Z15:AB21" si="4">IF(OR(W15=0,V15=0),"",W15/V15-1)</f>
        <v>1.3061353430512179E-2</v>
      </c>
      <c r="AA15" s="60">
        <f t="shared" si="4"/>
        <v>-2.182772605694272E-2</v>
      </c>
      <c r="AB15" s="61">
        <f t="shared" si="4"/>
        <v>-0.13559372886953958</v>
      </c>
    </row>
    <row r="16" spans="1:29" ht="24.75" customHeight="1" x14ac:dyDescent="0.25">
      <c r="A16" s="3"/>
      <c r="B16" s="3"/>
      <c r="C16" s="43" t="s">
        <v>66</v>
      </c>
      <c r="D16" s="43"/>
      <c r="E16" s="2"/>
      <c r="F16" s="80">
        <v>717.41616296000007</v>
      </c>
      <c r="G16" s="81">
        <v>729.84982531455694</v>
      </c>
      <c r="H16" s="81">
        <v>718.69755800000007</v>
      </c>
      <c r="I16" s="82">
        <v>713.60000000000014</v>
      </c>
      <c r="J16" s="65">
        <f t="shared" si="1"/>
        <v>1.7331171217632724E-2</v>
      </c>
      <c r="K16" s="66">
        <f t="shared" si="1"/>
        <v>-1.528022194120604E-2</v>
      </c>
      <c r="L16" s="67">
        <f t="shared" si="1"/>
        <v>-7.0927721170855884E-3</v>
      </c>
      <c r="N16" s="80">
        <v>115.07123104</v>
      </c>
      <c r="O16" s="81">
        <v>110.22414505723984</v>
      </c>
      <c r="P16" s="81">
        <v>109.1275203763812</v>
      </c>
      <c r="Q16" s="82"/>
      <c r="R16" s="65">
        <f t="shared" si="2"/>
        <v>-4.212248308245925E-2</v>
      </c>
      <c r="S16" s="66">
        <f t="shared" si="2"/>
        <v>-9.949042292767718E-3</v>
      </c>
      <c r="T16" s="67" t="str">
        <f t="shared" si="2"/>
        <v/>
      </c>
      <c r="V16" s="89">
        <f t="shared" ref="V16:V21" si="5">+F16+N16</f>
        <v>832.48739400000011</v>
      </c>
      <c r="W16" s="90">
        <f t="shared" si="3"/>
        <v>840.0739703717968</v>
      </c>
      <c r="X16" s="90">
        <f t="shared" si="3"/>
        <v>827.82507837638127</v>
      </c>
      <c r="Y16" s="91">
        <f t="shared" si="3"/>
        <v>713.60000000000014</v>
      </c>
      <c r="Z16" s="68">
        <f t="shared" si="4"/>
        <v>9.1131426451325215E-3</v>
      </c>
      <c r="AA16" s="69">
        <f t="shared" si="4"/>
        <v>-1.4580730301635758E-2</v>
      </c>
      <c r="AB16" s="70">
        <f t="shared" si="4"/>
        <v>-0.13798214303970047</v>
      </c>
    </row>
    <row r="17" spans="1:31" ht="24.75" customHeight="1" x14ac:dyDescent="0.25">
      <c r="A17" s="3"/>
      <c r="B17" s="3"/>
      <c r="C17" s="44" t="s">
        <v>67</v>
      </c>
      <c r="D17" s="42"/>
      <c r="E17" s="2"/>
      <c r="F17" s="98">
        <f t="shared" ref="F17:Q17" si="6">+F15+F16</f>
        <v>1433.8878928600002</v>
      </c>
      <c r="G17" s="99">
        <f t="shared" si="6"/>
        <v>1458.5443519322896</v>
      </c>
      <c r="H17" s="99">
        <f t="shared" si="6"/>
        <v>1429.0723479061567</v>
      </c>
      <c r="I17" s="100">
        <f t="shared" si="6"/>
        <v>1424.6000000000001</v>
      </c>
      <c r="J17" s="68">
        <f t="shared" si="1"/>
        <v>1.7195527764105822E-2</v>
      </c>
      <c r="K17" s="69">
        <f t="shared" si="1"/>
        <v>-2.020645034694224E-2</v>
      </c>
      <c r="L17" s="70">
        <f t="shared" si="1"/>
        <v>-3.12954617917649E-3</v>
      </c>
      <c r="M17" s="7">
        <f t="shared" si="6"/>
        <v>0</v>
      </c>
      <c r="N17" s="98">
        <f t="shared" si="6"/>
        <v>228.64250806000001</v>
      </c>
      <c r="O17" s="99">
        <f t="shared" si="6"/>
        <v>222.41411043541444</v>
      </c>
      <c r="P17" s="99">
        <f t="shared" si="6"/>
        <v>221.28262612931383</v>
      </c>
      <c r="Q17" s="100">
        <f t="shared" si="6"/>
        <v>0</v>
      </c>
      <c r="R17" s="68">
        <f t="shared" si="2"/>
        <v>-2.7240768470537913E-2</v>
      </c>
      <c r="S17" s="69">
        <f t="shared" si="2"/>
        <v>-5.0872865210104257E-3</v>
      </c>
      <c r="T17" s="70" t="str">
        <f t="shared" si="2"/>
        <v/>
      </c>
      <c r="U17" s="7"/>
      <c r="V17" s="98">
        <f>+V15+V16</f>
        <v>1662.5304009200001</v>
      </c>
      <c r="W17" s="99">
        <f>+W15+W16</f>
        <v>1680.9584623677042</v>
      </c>
      <c r="X17" s="99">
        <f>+X15+X16</f>
        <v>1650.3549740354706</v>
      </c>
      <c r="Y17" s="100">
        <f>+Y15+Y16</f>
        <v>1424.6000000000001</v>
      </c>
      <c r="Z17" s="68">
        <f t="shared" si="4"/>
        <v>1.1084345547910823E-2</v>
      </c>
      <c r="AA17" s="69">
        <f t="shared" si="4"/>
        <v>-1.8205975351185844E-2</v>
      </c>
      <c r="AB17" s="70">
        <f t="shared" si="4"/>
        <v>-0.13679176758164413</v>
      </c>
    </row>
    <row r="18" spans="1:31" ht="24.75" customHeight="1" x14ac:dyDescent="0.25">
      <c r="A18" s="2"/>
      <c r="B18" s="3"/>
      <c r="C18" s="40" t="s">
        <v>68</v>
      </c>
      <c r="D18" s="120" t="s">
        <v>39</v>
      </c>
      <c r="E18" s="2"/>
      <c r="F18" s="74">
        <v>1.787231</v>
      </c>
      <c r="G18" s="75">
        <v>1.153367</v>
      </c>
      <c r="H18" s="75">
        <v>1.3</v>
      </c>
      <c r="I18" s="76">
        <v>1.3</v>
      </c>
      <c r="J18" s="59">
        <f t="shared" si="1"/>
        <v>-0.35466260377086112</v>
      </c>
      <c r="K18" s="60">
        <f t="shared" si="1"/>
        <v>0.127134728148109</v>
      </c>
      <c r="L18" s="61">
        <f t="shared" si="1"/>
        <v>0</v>
      </c>
      <c r="N18" s="74">
        <v>2.3364470000000002</v>
      </c>
      <c r="O18" s="75">
        <v>2.0724469999999999</v>
      </c>
      <c r="P18" s="75">
        <v>1.9</v>
      </c>
      <c r="Q18" s="76">
        <v>1.8</v>
      </c>
      <c r="R18" s="59">
        <f t="shared" si="2"/>
        <v>-0.11299207728658101</v>
      </c>
      <c r="S18" s="60">
        <f t="shared" si="2"/>
        <v>-8.3209365547104452E-2</v>
      </c>
      <c r="T18" s="61">
        <f t="shared" si="2"/>
        <v>-5.2631578947368363E-2</v>
      </c>
      <c r="V18" s="92">
        <f t="shared" si="5"/>
        <v>4.123678</v>
      </c>
      <c r="W18" s="93">
        <f t="shared" si="3"/>
        <v>3.2258139999999997</v>
      </c>
      <c r="X18" s="93">
        <f t="shared" si="3"/>
        <v>3.2</v>
      </c>
      <c r="Y18" s="94">
        <f t="shared" si="3"/>
        <v>3.1</v>
      </c>
      <c r="Z18" s="59">
        <f t="shared" si="4"/>
        <v>-0.21773378037761437</v>
      </c>
      <c r="AA18" s="60">
        <f t="shared" si="4"/>
        <v>-8.0023212745681249E-3</v>
      </c>
      <c r="AB18" s="61">
        <f t="shared" si="4"/>
        <v>-3.125E-2</v>
      </c>
    </row>
    <row r="19" spans="1:31" ht="24.75" customHeight="1" x14ac:dyDescent="0.25">
      <c r="A19" s="2"/>
      <c r="B19" s="3"/>
      <c r="C19" s="40"/>
      <c r="D19" s="120" t="s">
        <v>40</v>
      </c>
      <c r="E19" s="2"/>
      <c r="F19" s="83">
        <v>0</v>
      </c>
      <c r="G19" s="84">
        <v>0</v>
      </c>
      <c r="H19" s="84">
        <v>0</v>
      </c>
      <c r="I19" s="85">
        <v>0</v>
      </c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>
        <v>0</v>
      </c>
      <c r="O19" s="84">
        <v>0</v>
      </c>
      <c r="P19" s="84">
        <v>0</v>
      </c>
      <c r="Q19" s="85">
        <v>0</v>
      </c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95">
        <f t="shared" si="5"/>
        <v>0</v>
      </c>
      <c r="W19" s="96">
        <f t="shared" si="3"/>
        <v>0</v>
      </c>
      <c r="X19" s="96">
        <f t="shared" si="3"/>
        <v>0</v>
      </c>
      <c r="Y19" s="97">
        <f t="shared" si="3"/>
        <v>0</v>
      </c>
      <c r="Z19" s="68" t="str">
        <f t="shared" si="4"/>
        <v/>
      </c>
      <c r="AA19" s="69" t="str">
        <f t="shared" si="4"/>
        <v/>
      </c>
      <c r="AB19" s="70" t="str">
        <f t="shared" si="4"/>
        <v/>
      </c>
    </row>
    <row r="20" spans="1:31" ht="24.75" customHeight="1" x14ac:dyDescent="0.25">
      <c r="A20" s="2"/>
      <c r="B20" s="3"/>
      <c r="C20" s="40" t="s">
        <v>69</v>
      </c>
      <c r="D20" s="120" t="s">
        <v>39</v>
      </c>
      <c r="E20" s="2"/>
      <c r="F20" s="74">
        <v>150.56416911999997</v>
      </c>
      <c r="G20" s="75">
        <v>162.23919032000001</v>
      </c>
      <c r="H20" s="75">
        <v>156.67600000000002</v>
      </c>
      <c r="I20" s="76">
        <v>155</v>
      </c>
      <c r="J20" s="59">
        <f t="shared" si="1"/>
        <v>7.7541829960187991E-2</v>
      </c>
      <c r="K20" s="60">
        <f t="shared" si="1"/>
        <v>-3.4290052292711648E-2</v>
      </c>
      <c r="L20" s="61">
        <f t="shared" si="1"/>
        <v>-1.0697235058337085E-2</v>
      </c>
      <c r="N20" s="74">
        <v>40.935840800000001</v>
      </c>
      <c r="O20" s="75">
        <v>42.375736099999997</v>
      </c>
      <c r="P20" s="75">
        <v>45.977999999999994</v>
      </c>
      <c r="Q20" s="76">
        <v>46.5</v>
      </c>
      <c r="R20" s="59">
        <f t="shared" si="2"/>
        <v>3.5174440584593958E-2</v>
      </c>
      <c r="S20" s="60">
        <f t="shared" si="2"/>
        <v>8.5007700904574879E-2</v>
      </c>
      <c r="T20" s="61">
        <f t="shared" si="2"/>
        <v>1.135325590499825E-2</v>
      </c>
      <c r="V20" s="92">
        <f t="shared" si="5"/>
        <v>191.50000991999997</v>
      </c>
      <c r="W20" s="93">
        <f t="shared" si="3"/>
        <v>204.61492642000002</v>
      </c>
      <c r="X20" s="93">
        <f t="shared" si="3"/>
        <v>202.654</v>
      </c>
      <c r="Y20" s="94">
        <f t="shared" si="3"/>
        <v>201.5</v>
      </c>
      <c r="Z20" s="59">
        <f t="shared" si="4"/>
        <v>6.8485200107712085E-2</v>
      </c>
      <c r="AA20" s="60">
        <f t="shared" si="4"/>
        <v>-9.5834964452933269E-3</v>
      </c>
      <c r="AB20" s="61">
        <f t="shared" si="4"/>
        <v>-5.6944348495464592E-3</v>
      </c>
    </row>
    <row r="21" spans="1:31" ht="24.75" customHeight="1" x14ac:dyDescent="0.25">
      <c r="A21" s="2"/>
      <c r="B21" s="3"/>
      <c r="C21" s="40"/>
      <c r="D21" s="120" t="s">
        <v>40</v>
      </c>
      <c r="E21" s="2"/>
      <c r="F21" s="83">
        <v>9.6104788800000165</v>
      </c>
      <c r="G21" s="84">
        <v>14.107755679999997</v>
      </c>
      <c r="H21" s="84">
        <v>13.623999999999995</v>
      </c>
      <c r="I21" s="85">
        <v>14</v>
      </c>
      <c r="J21" s="68">
        <f t="shared" si="1"/>
        <v>0.46795553646749943</v>
      </c>
      <c r="K21" s="69">
        <f t="shared" si="1"/>
        <v>-3.4290052292711759E-2</v>
      </c>
      <c r="L21" s="70">
        <f t="shared" si="1"/>
        <v>2.7598355842630928E-2</v>
      </c>
      <c r="N21" s="83">
        <v>10.881679199999994</v>
      </c>
      <c r="O21" s="84">
        <v>2.2303019000000006</v>
      </c>
      <c r="P21" s="84">
        <v>1.4220000000000041</v>
      </c>
      <c r="Q21" s="85">
        <v>5</v>
      </c>
      <c r="R21" s="68">
        <f t="shared" si="2"/>
        <v>-0.79504064960856391</v>
      </c>
      <c r="S21" s="69">
        <f t="shared" si="2"/>
        <v>-0.36241815513854703</v>
      </c>
      <c r="T21" s="70">
        <f t="shared" si="2"/>
        <v>2.5161744022503414</v>
      </c>
      <c r="V21" s="95">
        <f t="shared" si="5"/>
        <v>20.49215808000001</v>
      </c>
      <c r="W21" s="96">
        <f t="shared" si="3"/>
        <v>16.338057579999997</v>
      </c>
      <c r="X21" s="96">
        <f t="shared" si="3"/>
        <v>15.045999999999999</v>
      </c>
      <c r="Y21" s="97">
        <f t="shared" si="3"/>
        <v>19</v>
      </c>
      <c r="Z21" s="68">
        <f t="shared" si="4"/>
        <v>-0.20271659450325741</v>
      </c>
      <c r="AA21" s="69">
        <f t="shared" si="4"/>
        <v>-7.9082692276813416E-2</v>
      </c>
      <c r="AB21" s="70">
        <f t="shared" si="4"/>
        <v>0.26279409809916254</v>
      </c>
    </row>
    <row r="22" spans="1:31" ht="24.75" customHeight="1" x14ac:dyDescent="0.25">
      <c r="A22" s="37" t="s">
        <v>70</v>
      </c>
      <c r="B22" s="13"/>
      <c r="C22" s="13"/>
      <c r="D22" s="13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3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3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</row>
    <row r="23" spans="1:31" ht="24.75" customHeight="1" x14ac:dyDescent="0.25">
      <c r="A23" s="12"/>
      <c r="B23" s="13"/>
      <c r="C23" s="13"/>
      <c r="D23" s="111" t="s">
        <v>71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3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3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42"/>
    </row>
    <row r="24" spans="1:31" ht="24.75" customHeight="1" x14ac:dyDescent="0.25">
      <c r="A24" s="3"/>
      <c r="B24" s="3"/>
      <c r="C24" s="42" t="s">
        <v>65</v>
      </c>
      <c r="D24" s="42"/>
      <c r="E24" s="2"/>
      <c r="F24" s="77">
        <v>638.72097489999999</v>
      </c>
      <c r="G24" s="78">
        <v>643.73558161773258</v>
      </c>
      <c r="H24" s="78">
        <v>628.17234790615669</v>
      </c>
      <c r="I24" s="79">
        <v>629.1</v>
      </c>
      <c r="J24" s="59">
        <f t="shared" ref="J24:L30" si="7">IF(OR(G24=0,F24=0),"",G24/F24-1)</f>
        <v>7.8510130632827302E-3</v>
      </c>
      <c r="K24" s="60">
        <f t="shared" si="7"/>
        <v>-2.4176438519158516E-2</v>
      </c>
      <c r="L24" s="61">
        <f t="shared" si="7"/>
        <v>1.4767477379979965E-3</v>
      </c>
      <c r="N24" s="77">
        <v>90.594125020000007</v>
      </c>
      <c r="O24" s="78">
        <v>91.884607378174621</v>
      </c>
      <c r="P24" s="78">
        <v>89.106652752932632</v>
      </c>
      <c r="Q24" s="79">
        <v>87.761142296363317</v>
      </c>
      <c r="R24" s="59">
        <f t="shared" ref="R24:T30" si="8">IF(OR(O24=0,N24=0),"",O24/N24-1)</f>
        <v>1.4244658336174831E-2</v>
      </c>
      <c r="S24" s="60">
        <f t="shared" si="8"/>
        <v>-3.0233079342752212E-2</v>
      </c>
      <c r="T24" s="61">
        <f t="shared" si="8"/>
        <v>-1.5100000000000335E-2</v>
      </c>
      <c r="V24" s="86">
        <f t="shared" ref="V24:Y30" si="9">+F24+N24</f>
        <v>729.31509991999997</v>
      </c>
      <c r="W24" s="87">
        <f t="shared" si="9"/>
        <v>735.62018899590726</v>
      </c>
      <c r="X24" s="87">
        <f t="shared" si="9"/>
        <v>717.27900065908932</v>
      </c>
      <c r="Y24" s="88">
        <f t="shared" si="9"/>
        <v>716.86114229636337</v>
      </c>
      <c r="Z24" s="59">
        <f t="shared" ref="Z24:AB30" si="10">IF(OR(W24=0,V24=0),"",W24/V24-1)</f>
        <v>8.6452194347805822E-3</v>
      </c>
      <c r="AA24" s="60">
        <f t="shared" si="10"/>
        <v>-2.4932959441818614E-2</v>
      </c>
      <c r="AB24" s="61">
        <f t="shared" si="10"/>
        <v>-5.8256042954274445E-4</v>
      </c>
    </row>
    <row r="25" spans="1:31" ht="24.75" customHeight="1" x14ac:dyDescent="0.25">
      <c r="A25" s="3"/>
      <c r="B25" s="3"/>
      <c r="C25" s="43" t="s">
        <v>66</v>
      </c>
      <c r="D25" s="43"/>
      <c r="E25" s="2"/>
      <c r="F25" s="80">
        <v>636.77950096000006</v>
      </c>
      <c r="G25" s="81">
        <v>639.61519131455714</v>
      </c>
      <c r="H25" s="81">
        <v>631.9</v>
      </c>
      <c r="I25" s="82">
        <v>627.79999999999995</v>
      </c>
      <c r="J25" s="68">
        <f t="shared" si="7"/>
        <v>4.4531746864997501E-3</v>
      </c>
      <c r="K25" s="69">
        <f t="shared" si="7"/>
        <v>-1.2062239013899356E-2</v>
      </c>
      <c r="L25" s="70">
        <f t="shared" si="7"/>
        <v>-6.4883684127235997E-3</v>
      </c>
      <c r="N25" s="80">
        <v>88.56731004000001</v>
      </c>
      <c r="O25" s="81">
        <v>87.995912057239821</v>
      </c>
      <c r="P25" s="81">
        <v>86.675973376381222</v>
      </c>
      <c r="Q25" s="82">
        <v>85.367166178397866</v>
      </c>
      <c r="R25" s="68">
        <f t="shared" si="8"/>
        <v>-6.4515675422696095E-3</v>
      </c>
      <c r="S25" s="69">
        <f t="shared" si="8"/>
        <v>-1.5000000000000013E-2</v>
      </c>
      <c r="T25" s="70">
        <f t="shared" si="8"/>
        <v>-1.5100000000000002E-2</v>
      </c>
      <c r="V25" s="89">
        <f t="shared" si="9"/>
        <v>725.34681100000012</v>
      </c>
      <c r="W25" s="90">
        <f t="shared" si="9"/>
        <v>727.61110337179696</v>
      </c>
      <c r="X25" s="90">
        <f t="shared" si="9"/>
        <v>718.57597337638117</v>
      </c>
      <c r="Y25" s="91">
        <f t="shared" si="9"/>
        <v>713.16716617839779</v>
      </c>
      <c r="Z25" s="68">
        <f t="shared" si="10"/>
        <v>3.1216686107369274E-3</v>
      </c>
      <c r="AA25" s="69">
        <f t="shared" si="10"/>
        <v>-1.2417526276806923E-2</v>
      </c>
      <c r="AB25" s="70">
        <f t="shared" si="10"/>
        <v>-7.5271194673667274E-3</v>
      </c>
    </row>
    <row r="26" spans="1:31" ht="24.75" customHeight="1" x14ac:dyDescent="0.25">
      <c r="A26" s="3"/>
      <c r="B26" s="3"/>
      <c r="C26" s="44" t="s">
        <v>67</v>
      </c>
      <c r="D26" s="42"/>
      <c r="E26" s="2"/>
      <c r="F26" s="98">
        <f>+F24+F25</f>
        <v>1275.5004758600001</v>
      </c>
      <c r="G26" s="99">
        <f>+G24+G25</f>
        <v>1283.3507729322896</v>
      </c>
      <c r="H26" s="99">
        <f>+H24+H25</f>
        <v>1260.0723479061567</v>
      </c>
      <c r="I26" s="100">
        <f>+I24+I25</f>
        <v>1256.9000000000001</v>
      </c>
      <c r="J26" s="68">
        <f t="shared" si="7"/>
        <v>6.1546798459612972E-3</v>
      </c>
      <c r="K26" s="69">
        <f t="shared" si="7"/>
        <v>-1.813878599452956E-2</v>
      </c>
      <c r="L26" s="70">
        <f t="shared" si="7"/>
        <v>-2.5175918759172689E-3</v>
      </c>
      <c r="M26" s="7"/>
      <c r="N26" s="98">
        <f>+N24+N25</f>
        <v>179.16143506000003</v>
      </c>
      <c r="O26" s="99">
        <f>+O24+O25</f>
        <v>179.88051943541444</v>
      </c>
      <c r="P26" s="99">
        <f>+P24+P25</f>
        <v>175.78262612931385</v>
      </c>
      <c r="Q26" s="100">
        <f>+Q24+Q25</f>
        <v>173.12830847476118</v>
      </c>
      <c r="R26" s="68">
        <f t="shared" si="8"/>
        <v>4.0136113844677634E-3</v>
      </c>
      <c r="S26" s="69">
        <f t="shared" si="8"/>
        <v>-2.278119564565706E-2</v>
      </c>
      <c r="T26" s="70">
        <f t="shared" si="8"/>
        <v>-1.5100000000000224E-2</v>
      </c>
      <c r="U26" s="7"/>
      <c r="V26" s="98">
        <f>+V24+V25</f>
        <v>1454.6619109200001</v>
      </c>
      <c r="W26" s="99">
        <f>+W24+W25</f>
        <v>1463.2312923677041</v>
      </c>
      <c r="X26" s="99">
        <f>+X24+X25</f>
        <v>1435.8549740354706</v>
      </c>
      <c r="Y26" s="100">
        <f>+Y24+Y25</f>
        <v>1430.0283084747612</v>
      </c>
      <c r="Z26" s="68">
        <f t="shared" si="10"/>
        <v>5.8909780914551124E-3</v>
      </c>
      <c r="AA26" s="69">
        <f t="shared" si="10"/>
        <v>-1.8709494852269692E-2</v>
      </c>
      <c r="AB26" s="70">
        <f t="shared" si="10"/>
        <v>-4.0579763737096375E-3</v>
      </c>
    </row>
    <row r="27" spans="1:31" ht="24.75" customHeight="1" x14ac:dyDescent="0.25">
      <c r="A27" s="2"/>
      <c r="B27" s="3"/>
      <c r="C27" s="40" t="s">
        <v>72</v>
      </c>
      <c r="D27" s="120" t="s">
        <v>39</v>
      </c>
      <c r="E27" s="2"/>
      <c r="F27" s="74">
        <f>336.62005-N27</f>
        <v>308.62004999999999</v>
      </c>
      <c r="G27" s="75">
        <f>311.87318-O27</f>
        <v>284.87317999999999</v>
      </c>
      <c r="H27" s="75">
        <f>G27*0.978</f>
        <v>278.60597003999999</v>
      </c>
      <c r="I27" s="76">
        <f>H27*0.984</f>
        <v>274.14827451935997</v>
      </c>
      <c r="J27" s="59">
        <f t="shared" si="7"/>
        <v>-7.6945324841986129E-2</v>
      </c>
      <c r="K27" s="60">
        <f t="shared" si="7"/>
        <v>-2.200000000000002E-2</v>
      </c>
      <c r="L27" s="61">
        <f t="shared" si="7"/>
        <v>-1.6000000000000014E-2</v>
      </c>
      <c r="N27" s="74">
        <v>28</v>
      </c>
      <c r="O27" s="75">
        <v>27</v>
      </c>
      <c r="P27" s="75">
        <v>26</v>
      </c>
      <c r="Q27" s="76">
        <v>26</v>
      </c>
      <c r="R27" s="59">
        <f t="shared" si="8"/>
        <v>-3.5714285714285698E-2</v>
      </c>
      <c r="S27" s="60">
        <f t="shared" si="8"/>
        <v>-3.703703703703709E-2</v>
      </c>
      <c r="T27" s="61">
        <f t="shared" si="8"/>
        <v>0</v>
      </c>
      <c r="V27" s="92">
        <f t="shared" si="9"/>
        <v>336.62004999999999</v>
      </c>
      <c r="W27" s="93">
        <f t="shared" si="9"/>
        <v>311.87317999999999</v>
      </c>
      <c r="X27" s="93">
        <f t="shared" si="9"/>
        <v>304.60597003999999</v>
      </c>
      <c r="Y27" s="94">
        <f t="shared" si="9"/>
        <v>300.14827451935997</v>
      </c>
      <c r="Z27" s="59">
        <f t="shared" si="10"/>
        <v>-7.3515733837007047E-2</v>
      </c>
      <c r="AA27" s="60">
        <f t="shared" si="10"/>
        <v>-2.3301811204156753E-2</v>
      </c>
      <c r="AB27" s="61">
        <f t="shared" si="10"/>
        <v>-1.4634301225463942E-2</v>
      </c>
    </row>
    <row r="28" spans="1:31" ht="24.75" customHeight="1" x14ac:dyDescent="0.25">
      <c r="A28" s="2"/>
      <c r="B28" s="3"/>
      <c r="C28" s="40"/>
      <c r="D28" s="120" t="s">
        <v>40</v>
      </c>
      <c r="E28" s="2"/>
      <c r="F28" s="83">
        <v>8.6680920000000015</v>
      </c>
      <c r="G28" s="84">
        <v>10.065865999999971</v>
      </c>
      <c r="H28" s="84">
        <f>G28*0.72</f>
        <v>7.2474235199999795</v>
      </c>
      <c r="I28" s="85">
        <v>7.5</v>
      </c>
      <c r="J28" s="68">
        <f t="shared" si="7"/>
        <v>0.16125509512358316</v>
      </c>
      <c r="K28" s="69">
        <f t="shared" si="7"/>
        <v>-0.28000000000000003</v>
      </c>
      <c r="L28" s="70">
        <f t="shared" si="7"/>
        <v>3.4850520230121917E-2</v>
      </c>
      <c r="N28" s="83">
        <v>0</v>
      </c>
      <c r="O28" s="84">
        <v>0</v>
      </c>
      <c r="P28" s="84">
        <v>0</v>
      </c>
      <c r="Q28" s="85">
        <v>0</v>
      </c>
      <c r="R28" s="68" t="str">
        <f t="shared" si="8"/>
        <v/>
      </c>
      <c r="S28" s="69" t="str">
        <f t="shared" si="8"/>
        <v/>
      </c>
      <c r="T28" s="70" t="str">
        <f t="shared" si="8"/>
        <v/>
      </c>
      <c r="V28" s="95">
        <f t="shared" si="9"/>
        <v>8.6680920000000015</v>
      </c>
      <c r="W28" s="96">
        <f t="shared" si="9"/>
        <v>10.065865999999971</v>
      </c>
      <c r="X28" s="96">
        <f t="shared" si="9"/>
        <v>7.2474235199999795</v>
      </c>
      <c r="Y28" s="97">
        <f t="shared" si="9"/>
        <v>7.5</v>
      </c>
      <c r="Z28" s="68">
        <f t="shared" si="10"/>
        <v>0.16125509512358316</v>
      </c>
      <c r="AA28" s="69">
        <f t="shared" si="10"/>
        <v>-0.28000000000000003</v>
      </c>
      <c r="AB28" s="70">
        <f t="shared" si="10"/>
        <v>3.4850520230121917E-2</v>
      </c>
    </row>
    <row r="29" spans="1:31" ht="24.75" customHeight="1" x14ac:dyDescent="0.25">
      <c r="A29" s="2"/>
      <c r="B29" s="3"/>
      <c r="C29" s="40" t="s">
        <v>73</v>
      </c>
      <c r="D29" s="120" t="s">
        <v>39</v>
      </c>
      <c r="E29" s="2"/>
      <c r="F29" s="74">
        <v>219.80946799999998</v>
      </c>
      <c r="G29" s="75">
        <v>220.57377199999999</v>
      </c>
      <c r="H29" s="75">
        <f>G29*1.004</f>
        <v>221.456067088</v>
      </c>
      <c r="I29" s="76">
        <f>H29*1.023</f>
        <v>226.54955663102399</v>
      </c>
      <c r="J29" s="59">
        <f t="shared" si="7"/>
        <v>3.4771204668946343E-3</v>
      </c>
      <c r="K29" s="60">
        <f t="shared" si="7"/>
        <v>4.0000000000000036E-3</v>
      </c>
      <c r="L29" s="61">
        <f t="shared" si="7"/>
        <v>2.2999999999999909E-2</v>
      </c>
      <c r="N29" s="74">
        <v>0</v>
      </c>
      <c r="O29" s="75">
        <v>0</v>
      </c>
      <c r="P29" s="75">
        <v>0</v>
      </c>
      <c r="Q29" s="76">
        <v>0</v>
      </c>
      <c r="R29" s="59" t="str">
        <f t="shared" si="8"/>
        <v/>
      </c>
      <c r="S29" s="60" t="str">
        <f t="shared" si="8"/>
        <v/>
      </c>
      <c r="T29" s="61" t="str">
        <f t="shared" si="8"/>
        <v/>
      </c>
      <c r="V29" s="92">
        <f t="shared" si="9"/>
        <v>219.80946799999998</v>
      </c>
      <c r="W29" s="93">
        <f t="shared" si="9"/>
        <v>220.57377199999999</v>
      </c>
      <c r="X29" s="93">
        <f t="shared" si="9"/>
        <v>221.456067088</v>
      </c>
      <c r="Y29" s="94">
        <f t="shared" si="9"/>
        <v>226.54955663102399</v>
      </c>
      <c r="Z29" s="59">
        <f t="shared" si="10"/>
        <v>3.4771204668946343E-3</v>
      </c>
      <c r="AA29" s="60">
        <f t="shared" si="10"/>
        <v>4.0000000000000036E-3</v>
      </c>
      <c r="AB29" s="61">
        <f t="shared" si="10"/>
        <v>2.2999999999999909E-2</v>
      </c>
    </row>
    <row r="30" spans="1:31" ht="24.75" customHeight="1" x14ac:dyDescent="0.25">
      <c r="A30" s="5"/>
      <c r="B30" s="3"/>
      <c r="C30" s="40"/>
      <c r="D30" s="120" t="s">
        <v>40</v>
      </c>
      <c r="E30" s="2"/>
      <c r="F30" s="83">
        <f>15.923108-N30</f>
        <v>15.723108</v>
      </c>
      <c r="G30" s="84">
        <f>15.455673-O30</f>
        <v>15.255673000000002</v>
      </c>
      <c r="H30" s="84">
        <v>15</v>
      </c>
      <c r="I30" s="85">
        <v>17</v>
      </c>
      <c r="J30" s="68">
        <f t="shared" si="7"/>
        <v>-2.972917313803336E-2</v>
      </c>
      <c r="K30" s="69">
        <f t="shared" si="7"/>
        <v>-1.675920819750143E-2</v>
      </c>
      <c r="L30" s="70">
        <f t="shared" si="7"/>
        <v>0.1333333333333333</v>
      </c>
      <c r="N30" s="83">
        <v>0.2</v>
      </c>
      <c r="O30" s="84">
        <v>0.2</v>
      </c>
      <c r="P30" s="84">
        <v>0.2</v>
      </c>
      <c r="Q30" s="85">
        <v>0.2</v>
      </c>
      <c r="R30" s="68">
        <f t="shared" si="8"/>
        <v>0</v>
      </c>
      <c r="S30" s="69">
        <f t="shared" si="8"/>
        <v>0</v>
      </c>
      <c r="T30" s="70">
        <f t="shared" si="8"/>
        <v>0</v>
      </c>
      <c r="V30" s="95">
        <f t="shared" si="9"/>
        <v>15.923107999999999</v>
      </c>
      <c r="W30" s="96">
        <f t="shared" si="9"/>
        <v>15.455673000000001</v>
      </c>
      <c r="X30" s="96">
        <f t="shared" si="9"/>
        <v>15.2</v>
      </c>
      <c r="Y30" s="97">
        <f t="shared" si="9"/>
        <v>17.2</v>
      </c>
      <c r="Z30" s="65">
        <f t="shared" si="10"/>
        <v>-2.9355763962663484E-2</v>
      </c>
      <c r="AA30" s="66">
        <f t="shared" si="10"/>
        <v>-1.6542340149147905E-2</v>
      </c>
      <c r="AB30" s="67">
        <f t="shared" si="10"/>
        <v>0.13157894736842102</v>
      </c>
    </row>
    <row r="31" spans="1:31" ht="24.75" customHeight="1" x14ac:dyDescent="0.25">
      <c r="A31" s="37" t="s">
        <v>74</v>
      </c>
      <c r="B31" s="13"/>
      <c r="C31" s="13"/>
      <c r="D31" s="13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3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3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</row>
    <row r="32" spans="1:31" ht="24.75" customHeight="1" x14ac:dyDescent="0.25">
      <c r="A32" s="12"/>
      <c r="B32" s="13"/>
      <c r="C32" s="13"/>
      <c r="D32" s="13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3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3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2"/>
      <c r="AE32" s="2"/>
    </row>
    <row r="33" spans="1:33" ht="24.75" customHeight="1" x14ac:dyDescent="0.25">
      <c r="A33" s="3"/>
      <c r="B33" s="2"/>
      <c r="C33" s="42" t="s">
        <v>65</v>
      </c>
      <c r="D33" s="2"/>
      <c r="E33" s="2"/>
      <c r="F33" s="77">
        <f>794.6-N33</f>
        <v>690.64</v>
      </c>
      <c r="G33" s="78">
        <f>784.9-O33</f>
        <v>681.22</v>
      </c>
      <c r="H33" s="78">
        <f>762-P33</f>
        <v>662</v>
      </c>
      <c r="I33" s="79">
        <v>652</v>
      </c>
      <c r="J33" s="62">
        <f t="shared" ref="J33:L36" si="11">IF(OR(G33=0,F33=0),"",G33/F33-1)</f>
        <v>-1.3639522761496492E-2</v>
      </c>
      <c r="K33" s="63">
        <f t="shared" si="11"/>
        <v>-2.8214086491882284E-2</v>
      </c>
      <c r="L33" s="64">
        <f t="shared" si="11"/>
        <v>-1.5105740181268867E-2</v>
      </c>
      <c r="N33" s="77">
        <v>103.96</v>
      </c>
      <c r="O33" s="78">
        <v>103.68</v>
      </c>
      <c r="P33" s="78">
        <v>100</v>
      </c>
      <c r="Q33" s="79">
        <v>99</v>
      </c>
      <c r="R33" s="62">
        <f t="shared" ref="R33:T36" si="12">IF(OR(O33=0,N33=0),"",O33/N33-1)</f>
        <v>-2.6933435936897787E-3</v>
      </c>
      <c r="S33" s="63">
        <f t="shared" si="12"/>
        <v>-3.5493827160493874E-2</v>
      </c>
      <c r="T33" s="64">
        <f t="shared" si="12"/>
        <v>-1.0000000000000009E-2</v>
      </c>
      <c r="V33" s="86">
        <f t="shared" ref="V33:Y34" si="13">+F33+N33</f>
        <v>794.6</v>
      </c>
      <c r="W33" s="87">
        <f t="shared" si="13"/>
        <v>784.90000000000009</v>
      </c>
      <c r="X33" s="87">
        <f t="shared" si="13"/>
        <v>762</v>
      </c>
      <c r="Y33" s="88">
        <f t="shared" si="13"/>
        <v>751</v>
      </c>
      <c r="Z33" s="62">
        <f t="shared" ref="Z33:AB36" si="14">IF(OR(W33=0,V33=0),"",W33/V33-1)</f>
        <v>-1.2207399949660136E-2</v>
      </c>
      <c r="AA33" s="63">
        <f t="shared" si="14"/>
        <v>-2.9175691170849949E-2</v>
      </c>
      <c r="AB33" s="64">
        <f t="shared" si="14"/>
        <v>-1.4435695538057791E-2</v>
      </c>
    </row>
    <row r="34" spans="1:33" ht="24.75" customHeight="1" x14ac:dyDescent="0.25">
      <c r="A34" s="3"/>
      <c r="B34" s="2"/>
      <c r="C34" s="43" t="s">
        <v>66</v>
      </c>
      <c r="D34" s="43"/>
      <c r="E34" s="2"/>
      <c r="F34" s="80">
        <f>769.6-N34</f>
        <v>666.6</v>
      </c>
      <c r="G34" s="81">
        <f>764.2-O34</f>
        <v>661.2</v>
      </c>
      <c r="H34" s="81">
        <f>1311.96-H33</f>
        <v>649.96</v>
      </c>
      <c r="I34" s="82">
        <f>1298.48-I33</f>
        <v>646.48</v>
      </c>
      <c r="J34" s="65">
        <f t="shared" si="11"/>
        <v>-8.1008100810080474E-3</v>
      </c>
      <c r="K34" s="66">
        <f t="shared" si="11"/>
        <v>-1.6999395039322462E-2</v>
      </c>
      <c r="L34" s="67">
        <f t="shared" si="11"/>
        <v>-5.3541756415779185E-3</v>
      </c>
      <c r="N34" s="80">
        <v>103</v>
      </c>
      <c r="O34" s="81">
        <v>103</v>
      </c>
      <c r="P34" s="81">
        <v>101.6</v>
      </c>
      <c r="Q34" s="82">
        <v>99.93</v>
      </c>
      <c r="R34" s="65">
        <f t="shared" si="12"/>
        <v>0</v>
      </c>
      <c r="S34" s="66">
        <f t="shared" si="12"/>
        <v>-1.3592233009708798E-2</v>
      </c>
      <c r="T34" s="67">
        <f t="shared" si="12"/>
        <v>-1.6437007874015586E-2</v>
      </c>
      <c r="V34" s="89">
        <f t="shared" si="13"/>
        <v>769.6</v>
      </c>
      <c r="W34" s="90">
        <f t="shared" si="13"/>
        <v>764.2</v>
      </c>
      <c r="X34" s="90">
        <f t="shared" si="13"/>
        <v>751.56000000000006</v>
      </c>
      <c r="Y34" s="91">
        <f t="shared" si="13"/>
        <v>746.41000000000008</v>
      </c>
      <c r="Z34" s="65">
        <f t="shared" si="14"/>
        <v>-7.0166320166319407E-3</v>
      </c>
      <c r="AA34" s="66">
        <f t="shared" si="14"/>
        <v>-1.6540172729651914E-2</v>
      </c>
      <c r="AB34" s="67">
        <f t="shared" si="14"/>
        <v>-6.8524136462824181E-3</v>
      </c>
    </row>
    <row r="35" spans="1:33" ht="24.75" customHeight="1" x14ac:dyDescent="0.25">
      <c r="A35" s="3"/>
      <c r="B35" s="2"/>
      <c r="C35" s="44" t="s">
        <v>67</v>
      </c>
      <c r="D35" s="2"/>
      <c r="E35" s="2"/>
      <c r="F35" s="98">
        <f>+F33+F34</f>
        <v>1357.24</v>
      </c>
      <c r="G35" s="99">
        <f>+G33+G34</f>
        <v>1342.42</v>
      </c>
      <c r="H35" s="99">
        <f>+H33+H34</f>
        <v>1311.96</v>
      </c>
      <c r="I35" s="100">
        <f>+I33+I34</f>
        <v>1298.48</v>
      </c>
      <c r="J35" s="68">
        <f t="shared" si="11"/>
        <v>-1.0919218413839804E-2</v>
      </c>
      <c r="K35" s="69">
        <f t="shared" si="11"/>
        <v>-2.2690365161424864E-2</v>
      </c>
      <c r="L35" s="70">
        <f t="shared" si="11"/>
        <v>-1.0274703497057835E-2</v>
      </c>
      <c r="M35" s="7"/>
      <c r="N35" s="98">
        <f>+N33+N34</f>
        <v>206.95999999999998</v>
      </c>
      <c r="O35" s="99">
        <f>+O33+O34</f>
        <v>206.68</v>
      </c>
      <c r="P35" s="99">
        <f>+P33+P34</f>
        <v>201.6</v>
      </c>
      <c r="Q35" s="100">
        <f>+Q33+Q34</f>
        <v>198.93</v>
      </c>
      <c r="R35" s="68">
        <f t="shared" si="12"/>
        <v>-1.3529184383453963E-3</v>
      </c>
      <c r="S35" s="69">
        <f t="shared" si="12"/>
        <v>-2.4579059415521631E-2</v>
      </c>
      <c r="T35" s="70">
        <f t="shared" si="12"/>
        <v>-1.3244047619047516E-2</v>
      </c>
      <c r="U35" s="7"/>
      <c r="V35" s="98">
        <f>+V33+V34</f>
        <v>1564.2</v>
      </c>
      <c r="W35" s="99">
        <f>+W33+W34</f>
        <v>1549.1000000000001</v>
      </c>
      <c r="X35" s="99">
        <f>+X33+X34</f>
        <v>1513.56</v>
      </c>
      <c r="Y35" s="100">
        <f>+Y33+Y34</f>
        <v>1497.41</v>
      </c>
      <c r="Z35" s="68">
        <f t="shared" si="14"/>
        <v>-9.653496995269073E-3</v>
      </c>
      <c r="AA35" s="69">
        <f t="shared" si="14"/>
        <v>-2.2942353624685441E-2</v>
      </c>
      <c r="AB35" s="70">
        <f t="shared" si="14"/>
        <v>-1.0670207986468894E-2</v>
      </c>
    </row>
    <row r="36" spans="1:33" ht="24.75" customHeight="1" x14ac:dyDescent="0.25">
      <c r="A36" s="3"/>
      <c r="C36" s="45" t="s">
        <v>75</v>
      </c>
      <c r="D36" s="11"/>
      <c r="E36" s="11"/>
      <c r="F36" s="83">
        <f>F35/F52</f>
        <v>20.435695397922775</v>
      </c>
      <c r="G36" s="84">
        <f>G35/G52</f>
        <v>20.089321172661037</v>
      </c>
      <c r="H36" s="84">
        <f>H35/H52</f>
        <v>19.4973119472162</v>
      </c>
      <c r="I36" s="85">
        <f>I35/I52</f>
        <v>19.163141603701419</v>
      </c>
      <c r="J36" s="68">
        <f t="shared" si="11"/>
        <v>-1.6949470938823263E-2</v>
      </c>
      <c r="K36" s="69">
        <f t="shared" si="11"/>
        <v>-2.9468851652911243E-2</v>
      </c>
      <c r="L36" s="70">
        <f t="shared" si="11"/>
        <v>-1.7139303326502597E-2</v>
      </c>
      <c r="N36" s="83">
        <f>N35/F52</f>
        <v>3.116155963244597</v>
      </c>
      <c r="O36" s="84">
        <f>O35/G52</f>
        <v>3.0929671041593414</v>
      </c>
      <c r="P36" s="84">
        <f>P35/H52</f>
        <v>2.996019763223563</v>
      </c>
      <c r="Q36" s="85">
        <f>Q35/I52</f>
        <v>2.9358355609823206</v>
      </c>
      <c r="R36" s="68">
        <f t="shared" si="12"/>
        <v>-7.4414950210357489E-3</v>
      </c>
      <c r="S36" s="69">
        <f t="shared" si="12"/>
        <v>-3.1344446180952334E-2</v>
      </c>
      <c r="T36" s="70">
        <f t="shared" si="12"/>
        <v>-2.0088052482166274E-2</v>
      </c>
      <c r="V36" s="95">
        <f>+F36+N36</f>
        <v>23.551851361167373</v>
      </c>
      <c r="W36" s="96">
        <f>+G36+O36</f>
        <v>23.18228827682038</v>
      </c>
      <c r="X36" s="96">
        <f>+H36+P36</f>
        <v>22.493331710439762</v>
      </c>
      <c r="Y36" s="97">
        <f>+I36+Q36</f>
        <v>22.098977164683738</v>
      </c>
      <c r="Z36" s="68">
        <f t="shared" si="14"/>
        <v>-1.5691466402353971E-2</v>
      </c>
      <c r="AA36" s="69">
        <f t="shared" si="14"/>
        <v>-2.9719092358518218E-2</v>
      </c>
      <c r="AB36" s="70">
        <f t="shared" si="14"/>
        <v>-1.7532064650653489E-2</v>
      </c>
      <c r="AC36" s="52"/>
      <c r="AD36" s="52"/>
      <c r="AE36" s="52"/>
      <c r="AF36" s="52"/>
      <c r="AG36" s="52"/>
    </row>
    <row r="37" spans="1:33" ht="24.75" customHeight="1" x14ac:dyDescent="0.25">
      <c r="A37" s="3"/>
      <c r="B37" s="116"/>
      <c r="C37" s="130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</row>
    <row r="38" spans="1:33" ht="24.75" customHeight="1" x14ac:dyDescent="0.25">
      <c r="A38" s="37" t="s">
        <v>76</v>
      </c>
      <c r="B38" s="13"/>
      <c r="C38" s="18"/>
      <c r="D38" s="111" t="s">
        <v>77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1:33" ht="24.75" customHeight="1" x14ac:dyDescent="0.25">
      <c r="A39" s="18"/>
      <c r="B39" s="18"/>
      <c r="C39" s="18"/>
      <c r="D39" s="39" t="s">
        <v>78</v>
      </c>
      <c r="E39" s="13"/>
      <c r="F39" s="422" t="s">
        <v>79</v>
      </c>
      <c r="G39" s="422"/>
      <c r="H39" s="422"/>
      <c r="I39" s="422"/>
      <c r="J39" s="422"/>
      <c r="K39" s="422"/>
      <c r="L39" s="422"/>
      <c r="M39" s="13"/>
      <c r="N39" s="422" t="s">
        <v>80</v>
      </c>
      <c r="O39" s="422"/>
      <c r="P39" s="422"/>
      <c r="Q39" s="422"/>
      <c r="R39" s="422"/>
      <c r="S39" s="422"/>
      <c r="T39" s="422"/>
      <c r="U39" s="13"/>
      <c r="V39" s="13"/>
      <c r="W39" s="13"/>
      <c r="X39" s="13"/>
      <c r="Y39" s="13"/>
      <c r="Z39" s="13"/>
      <c r="AA39" s="13"/>
      <c r="AB39" s="13"/>
    </row>
    <row r="40" spans="1:33" ht="24.75" customHeight="1" x14ac:dyDescent="0.25"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3" ht="24.75" customHeight="1" x14ac:dyDescent="0.25"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3" ht="24.75" customHeight="1" x14ac:dyDescent="0.25">
      <c r="A42" s="49"/>
      <c r="B42" s="49"/>
      <c r="C42" s="46" t="s">
        <v>81</v>
      </c>
      <c r="D42" s="49"/>
      <c r="E42" s="49"/>
      <c r="F42" s="101">
        <v>3.75</v>
      </c>
      <c r="G42" s="102">
        <v>3.67</v>
      </c>
      <c r="H42" s="102">
        <v>3.76</v>
      </c>
      <c r="I42" s="103">
        <v>3.79</v>
      </c>
      <c r="J42" s="62">
        <f t="shared" ref="J42:L44" si="15">IF(OR(G42=0,F42=0),"",G42/F42-1)</f>
        <v>-2.1333333333333315E-2</v>
      </c>
      <c r="K42" s="63">
        <f t="shared" si="15"/>
        <v>2.4523160762942808E-2</v>
      </c>
      <c r="L42" s="64">
        <f t="shared" si="15"/>
        <v>7.9787234042554278E-3</v>
      </c>
      <c r="N42" s="102">
        <v>5.59</v>
      </c>
      <c r="O42" s="102">
        <v>5.83</v>
      </c>
      <c r="P42" s="102">
        <v>5.7</v>
      </c>
      <c r="Q42" s="103">
        <v>5.75</v>
      </c>
      <c r="R42" s="62">
        <f t="shared" ref="R42:T44" si="16">IF(OR(O42=0,N42=0),"",O42/N42-1)</f>
        <v>4.29338103756709E-2</v>
      </c>
      <c r="S42" s="63">
        <f t="shared" si="16"/>
        <v>-2.2298456260720356E-2</v>
      </c>
      <c r="T42" s="64">
        <f t="shared" si="16"/>
        <v>8.7719298245614308E-3</v>
      </c>
    </row>
    <row r="43" spans="1:33" ht="24.75" customHeight="1" x14ac:dyDescent="0.25">
      <c r="A43" s="20"/>
      <c r="B43" s="49"/>
      <c r="C43" s="47" t="s">
        <v>82</v>
      </c>
      <c r="D43" s="43"/>
      <c r="E43" s="49"/>
      <c r="F43" s="104">
        <v>3.76</v>
      </c>
      <c r="G43" s="105">
        <v>3.61</v>
      </c>
      <c r="H43" s="105">
        <v>3.83</v>
      </c>
      <c r="I43" s="106">
        <v>3.84</v>
      </c>
      <c r="J43" s="65">
        <f t="shared" si="15"/>
        <v>-3.9893617021276584E-2</v>
      </c>
      <c r="K43" s="66">
        <f t="shared" si="15"/>
        <v>6.094182825484773E-2</v>
      </c>
      <c r="L43" s="67">
        <f t="shared" si="15"/>
        <v>2.6109660574411553E-3</v>
      </c>
      <c r="N43" s="105">
        <v>5.48</v>
      </c>
      <c r="O43" s="105">
        <v>5.48</v>
      </c>
      <c r="P43" s="105">
        <v>5.48</v>
      </c>
      <c r="Q43" s="106">
        <v>5.55</v>
      </c>
      <c r="R43" s="65">
        <f t="shared" si="16"/>
        <v>0</v>
      </c>
      <c r="S43" s="66">
        <f t="shared" si="16"/>
        <v>0</v>
      </c>
      <c r="T43" s="67">
        <f t="shared" si="16"/>
        <v>1.2773722627737127E-2</v>
      </c>
    </row>
    <row r="44" spans="1:33" ht="24.75" customHeight="1" x14ac:dyDescent="0.25">
      <c r="A44" s="20"/>
      <c r="B44" s="20"/>
      <c r="D44" s="48" t="s">
        <v>83</v>
      </c>
      <c r="E44" s="49"/>
      <c r="F44" s="107">
        <f>(F42+F43)/2</f>
        <v>3.7549999999999999</v>
      </c>
      <c r="G44" s="108">
        <f>(G42+G43)/2</f>
        <v>3.6399999999999997</v>
      </c>
      <c r="H44" s="108">
        <f>(H42+H43)/2</f>
        <v>3.7949999999999999</v>
      </c>
      <c r="I44" s="109">
        <f>(I42+I43)/2</f>
        <v>3.8149999999999999</v>
      </c>
      <c r="J44" s="68">
        <f t="shared" si="15"/>
        <v>-3.0625832223701743E-2</v>
      </c>
      <c r="K44" s="69">
        <f t="shared" si="15"/>
        <v>4.2582417582417653E-2</v>
      </c>
      <c r="L44" s="70">
        <f t="shared" si="15"/>
        <v>5.2700922266140093E-3</v>
      </c>
      <c r="N44" s="107">
        <f>(N42+N43)/2</f>
        <v>5.5350000000000001</v>
      </c>
      <c r="O44" s="108">
        <f>(O42+O43)/2</f>
        <v>5.6550000000000002</v>
      </c>
      <c r="P44" s="108">
        <f>(P42+P43)/2</f>
        <v>5.59</v>
      </c>
      <c r="Q44" s="109">
        <f>(Q42+Q43)/2</f>
        <v>5.65</v>
      </c>
      <c r="R44" s="68">
        <f t="shared" si="16"/>
        <v>2.168021680216814E-2</v>
      </c>
      <c r="S44" s="69">
        <f t="shared" si="16"/>
        <v>-1.1494252873563315E-2</v>
      </c>
      <c r="T44" s="70">
        <f t="shared" si="16"/>
        <v>1.0733452593917781E-2</v>
      </c>
    </row>
    <row r="45" spans="1:33" ht="24.75" customHeight="1" x14ac:dyDescent="0.25">
      <c r="A45" s="20"/>
      <c r="B45" s="20"/>
      <c r="C45" s="46"/>
      <c r="D45" s="49"/>
      <c r="E45" s="49"/>
      <c r="F45" s="422" t="s">
        <v>84</v>
      </c>
      <c r="G45" s="422"/>
      <c r="H45" s="422"/>
      <c r="I45" s="422"/>
      <c r="J45" s="422"/>
      <c r="K45" s="422"/>
      <c r="L45" s="422"/>
      <c r="N45" s="422" t="s">
        <v>85</v>
      </c>
      <c r="O45" s="422"/>
      <c r="P45" s="422"/>
      <c r="Q45" s="422"/>
      <c r="R45" s="422"/>
      <c r="S45" s="422"/>
      <c r="T45" s="422"/>
    </row>
    <row r="46" spans="1:33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</row>
    <row r="47" spans="1:33" ht="24.75" customHeight="1" x14ac:dyDescent="0.25">
      <c r="A47" s="49"/>
      <c r="B47" s="49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</row>
    <row r="48" spans="1:33" ht="24.75" customHeight="1" x14ac:dyDescent="0.25">
      <c r="A48" s="49"/>
      <c r="B48" s="22"/>
      <c r="C48" s="46" t="s">
        <v>81</v>
      </c>
      <c r="D48" s="49"/>
      <c r="E48" s="49"/>
      <c r="F48" s="102">
        <v>3.2</v>
      </c>
      <c r="G48" s="102">
        <v>3.07</v>
      </c>
      <c r="H48" s="102">
        <v>3.2</v>
      </c>
      <c r="I48" s="103">
        <v>3.23</v>
      </c>
      <c r="J48" s="62">
        <f t="shared" ref="J48:L50" si="17">IF(OR(G48=0,F48=0),"",G48/F48-1)</f>
        <v>-4.0625000000000133E-2</v>
      </c>
      <c r="K48" s="63">
        <f t="shared" si="17"/>
        <v>4.2345276872964188E-2</v>
      </c>
      <c r="L48" s="64">
        <f t="shared" si="17"/>
        <v>9.3749999999999112E-3</v>
      </c>
      <c r="N48" s="101"/>
      <c r="O48" s="102"/>
      <c r="P48" s="102"/>
      <c r="Q48" s="103"/>
      <c r="R48" s="62" t="str">
        <f t="shared" ref="R48:T50" si="18">IF(OR(O48=0,N48=0),"",O48/N48-1)</f>
        <v/>
      </c>
      <c r="S48" s="63" t="str">
        <f t="shared" si="18"/>
        <v/>
      </c>
      <c r="T48" s="64" t="str">
        <f t="shared" si="18"/>
        <v/>
      </c>
    </row>
    <row r="49" spans="1:29" ht="24.75" customHeight="1" x14ac:dyDescent="0.25">
      <c r="A49" s="20"/>
      <c r="B49" s="20"/>
      <c r="C49" s="47" t="s">
        <v>82</v>
      </c>
      <c r="D49" s="43"/>
      <c r="E49" s="49"/>
      <c r="F49" s="105">
        <v>3.31</v>
      </c>
      <c r="G49" s="105">
        <v>3.02</v>
      </c>
      <c r="H49" s="105">
        <v>3.23</v>
      </c>
      <c r="I49" s="106">
        <v>3.3</v>
      </c>
      <c r="J49" s="65">
        <f t="shared" si="17"/>
        <v>-8.7613293051359564E-2</v>
      </c>
      <c r="K49" s="66">
        <f t="shared" si="17"/>
        <v>6.9536423841059625E-2</v>
      </c>
      <c r="L49" s="67">
        <f t="shared" si="17"/>
        <v>2.1671826625387025E-2</v>
      </c>
      <c r="N49" s="104"/>
      <c r="O49" s="105"/>
      <c r="P49" s="105"/>
      <c r="Q49" s="106"/>
      <c r="R49" s="65" t="str">
        <f t="shared" si="18"/>
        <v/>
      </c>
      <c r="S49" s="66" t="str">
        <f t="shared" si="18"/>
        <v/>
      </c>
      <c r="T49" s="67" t="str">
        <f t="shared" si="18"/>
        <v/>
      </c>
    </row>
    <row r="50" spans="1:29" ht="24.75" customHeight="1" x14ac:dyDescent="0.25">
      <c r="A50" s="20"/>
      <c r="B50" s="20"/>
      <c r="D50" s="48" t="s">
        <v>83</v>
      </c>
      <c r="E50" s="49"/>
      <c r="F50" s="107">
        <f>(F48+F49)/2</f>
        <v>3.2549999999999999</v>
      </c>
      <c r="G50" s="108">
        <f>(G48+G49)/2</f>
        <v>3.0449999999999999</v>
      </c>
      <c r="H50" s="108">
        <f>(H48+H49)/2</f>
        <v>3.2149999999999999</v>
      </c>
      <c r="I50" s="109">
        <f>(I48+I49)/2</f>
        <v>3.2649999999999997</v>
      </c>
      <c r="J50" s="68">
        <f t="shared" si="17"/>
        <v>-6.4516129032258007E-2</v>
      </c>
      <c r="K50" s="69">
        <f t="shared" si="17"/>
        <v>5.5829228243021278E-2</v>
      </c>
      <c r="L50" s="70">
        <f t="shared" si="17"/>
        <v>1.5552099533437058E-2</v>
      </c>
      <c r="N50" s="107">
        <f>(N48+N49)/2</f>
        <v>0</v>
      </c>
      <c r="O50" s="108">
        <f>(O48+O49)/2</f>
        <v>0</v>
      </c>
      <c r="P50" s="108">
        <f>(P48+P49)/2</f>
        <v>0</v>
      </c>
      <c r="Q50" s="109">
        <f>(Q48+Q49)/2</f>
        <v>0</v>
      </c>
      <c r="R50" s="68" t="str">
        <f t="shared" si="18"/>
        <v/>
      </c>
      <c r="S50" s="69" t="str">
        <f t="shared" si="18"/>
        <v/>
      </c>
      <c r="T50" s="70" t="str">
        <f t="shared" si="18"/>
        <v/>
      </c>
    </row>
    <row r="51" spans="1:29" ht="24.75" customHeight="1" x14ac:dyDescent="0.25">
      <c r="A51" s="49"/>
      <c r="B51" s="49"/>
      <c r="C51" s="49"/>
      <c r="D51" s="49"/>
      <c r="E51" s="49"/>
      <c r="AC51" s="42"/>
    </row>
    <row r="52" spans="1:29" ht="24.75" customHeight="1" x14ac:dyDescent="0.25">
      <c r="A52" s="23"/>
      <c r="B52" s="49"/>
      <c r="C52" s="49"/>
      <c r="D52" s="49" t="s">
        <v>86</v>
      </c>
      <c r="E52" s="49"/>
      <c r="F52" s="144">
        <v>66.415160999999998</v>
      </c>
      <c r="G52" s="145">
        <v>66.822566499999994</v>
      </c>
      <c r="H52" s="145">
        <v>67.289275749999987</v>
      </c>
      <c r="I52" s="145">
        <f>H52/G52*H52</f>
        <v>67.759244640200052</v>
      </c>
      <c r="V52" s="123"/>
      <c r="W52" s="123"/>
      <c r="X52" s="123"/>
      <c r="Y52" s="123"/>
      <c r="Z52" s="17"/>
      <c r="AA52" s="17"/>
      <c r="AB52" s="17"/>
    </row>
    <row r="53" spans="1:29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29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29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29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29" ht="17.25" customHeight="1" x14ac:dyDescent="0.25">
      <c r="A57" s="2"/>
      <c r="B57" s="2"/>
      <c r="C57" s="2"/>
      <c r="D57" s="2"/>
      <c r="E57" s="2"/>
    </row>
    <row r="58" spans="1:29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L50 U56 U54 F44:L44 N44:T44 F26:I26 V33:AB33 F17:AB17 V36:Y36 F35:AB35 V34:Y34 V30:Y30 V24:Y25 V29:AB29 V27:Y28 V18:Y21 V15:Y16 U26:Y26 M26:Q26">
    <cfRule type="cellIs" dxfId="72" priority="3" stopIfTrue="1" operator="equal">
      <formula>0</formula>
    </cfRule>
  </conditionalFormatting>
  <conditionalFormatting sqref="N50:T50">
    <cfRule type="cellIs" dxfId="71" priority="2" stopIfTrue="1" operator="equal">
      <formula>0</formula>
    </cfRule>
  </conditionalFormatting>
  <conditionalFormatting sqref="F12:I12">
    <cfRule type="cellIs" dxfId="70" priority="1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M58"/>
  <sheetViews>
    <sheetView showGridLines="0" zoomScale="60" zoomScaleNormal="60" workbookViewId="0">
      <selection sqref="A1:XFD1048576"/>
    </sheetView>
  </sheetViews>
  <sheetFormatPr defaultColWidth="9" defaultRowHeight="15.75" x14ac:dyDescent="0.25"/>
  <cols>
    <col min="1" max="1" width="2.75" style="122" customWidth="1"/>
    <col min="2" max="2" width="18.875" style="122" customWidth="1"/>
    <col min="3" max="3" width="26.625" style="122" customWidth="1"/>
    <col min="4" max="4" width="14.375" style="122" customWidth="1"/>
    <col min="5" max="5" width="3.25" style="122" customWidth="1"/>
    <col min="6" max="9" width="12.375" style="122" customWidth="1"/>
    <col min="10" max="12" width="7" style="122" customWidth="1"/>
    <col min="13" max="13" width="3.25" style="122" customWidth="1"/>
    <col min="14" max="17" width="12.375" style="122" customWidth="1"/>
    <col min="18" max="20" width="7" style="122" customWidth="1"/>
    <col min="21" max="21" width="3" style="122" customWidth="1"/>
    <col min="22" max="25" width="12.375" style="122" customWidth="1"/>
    <col min="26" max="28" width="7" style="122" customWidth="1"/>
    <col min="29" max="256" width="9" style="122"/>
    <col min="257" max="257" width="2.75" style="122" customWidth="1"/>
    <col min="258" max="258" width="18.875" style="122" customWidth="1"/>
    <col min="259" max="259" width="26.625" style="122" customWidth="1"/>
    <col min="260" max="260" width="14.375" style="122" customWidth="1"/>
    <col min="261" max="261" width="3.25" style="122" customWidth="1"/>
    <col min="262" max="265" width="12.375" style="122" customWidth="1"/>
    <col min="266" max="268" width="7" style="122" customWidth="1"/>
    <col min="269" max="269" width="3.25" style="122" customWidth="1"/>
    <col min="270" max="273" width="12.375" style="122" customWidth="1"/>
    <col min="274" max="276" width="7" style="122" customWidth="1"/>
    <col min="277" max="277" width="3" style="122" customWidth="1"/>
    <col min="278" max="281" width="12.375" style="122" customWidth="1"/>
    <col min="282" max="284" width="7" style="122" customWidth="1"/>
    <col min="285" max="512" width="9" style="122"/>
    <col min="513" max="513" width="2.75" style="122" customWidth="1"/>
    <col min="514" max="514" width="18.875" style="122" customWidth="1"/>
    <col min="515" max="515" width="26.625" style="122" customWidth="1"/>
    <col min="516" max="516" width="14.375" style="122" customWidth="1"/>
    <col min="517" max="517" width="3.25" style="122" customWidth="1"/>
    <col min="518" max="521" width="12.375" style="122" customWidth="1"/>
    <col min="522" max="524" width="7" style="122" customWidth="1"/>
    <col min="525" max="525" width="3.25" style="122" customWidth="1"/>
    <col min="526" max="529" width="12.375" style="122" customWidth="1"/>
    <col min="530" max="532" width="7" style="122" customWidth="1"/>
    <col min="533" max="533" width="3" style="122" customWidth="1"/>
    <col min="534" max="537" width="12.375" style="122" customWidth="1"/>
    <col min="538" max="540" width="7" style="122" customWidth="1"/>
    <col min="541" max="768" width="9" style="122"/>
    <col min="769" max="769" width="2.75" style="122" customWidth="1"/>
    <col min="770" max="770" width="18.875" style="122" customWidth="1"/>
    <col min="771" max="771" width="26.625" style="122" customWidth="1"/>
    <col min="772" max="772" width="14.375" style="122" customWidth="1"/>
    <col min="773" max="773" width="3.25" style="122" customWidth="1"/>
    <col min="774" max="777" width="12.375" style="122" customWidth="1"/>
    <col min="778" max="780" width="7" style="122" customWidth="1"/>
    <col min="781" max="781" width="3.25" style="122" customWidth="1"/>
    <col min="782" max="785" width="12.375" style="122" customWidth="1"/>
    <col min="786" max="788" width="7" style="122" customWidth="1"/>
    <col min="789" max="789" width="3" style="122" customWidth="1"/>
    <col min="790" max="793" width="12.375" style="122" customWidth="1"/>
    <col min="794" max="796" width="7" style="122" customWidth="1"/>
    <col min="797" max="1024" width="9" style="122"/>
    <col min="1025" max="1025" width="2.75" style="122" customWidth="1"/>
    <col min="1026" max="1026" width="18.875" style="122" customWidth="1"/>
    <col min="1027" max="1027" width="26.625" style="122" customWidth="1"/>
    <col min="1028" max="1028" width="14.375" style="122" customWidth="1"/>
    <col min="1029" max="1029" width="3.25" style="122" customWidth="1"/>
    <col min="1030" max="1033" width="12.375" style="122" customWidth="1"/>
    <col min="1034" max="1036" width="7" style="122" customWidth="1"/>
    <col min="1037" max="1037" width="3.25" style="122" customWidth="1"/>
    <col min="1038" max="1041" width="12.375" style="122" customWidth="1"/>
    <col min="1042" max="1044" width="7" style="122" customWidth="1"/>
    <col min="1045" max="1045" width="3" style="122" customWidth="1"/>
    <col min="1046" max="1049" width="12.375" style="122" customWidth="1"/>
    <col min="1050" max="1052" width="7" style="122" customWidth="1"/>
    <col min="1053" max="1280" width="9" style="122"/>
    <col min="1281" max="1281" width="2.75" style="122" customWidth="1"/>
    <col min="1282" max="1282" width="18.875" style="122" customWidth="1"/>
    <col min="1283" max="1283" width="26.625" style="122" customWidth="1"/>
    <col min="1284" max="1284" width="14.375" style="122" customWidth="1"/>
    <col min="1285" max="1285" width="3.25" style="122" customWidth="1"/>
    <col min="1286" max="1289" width="12.375" style="122" customWidth="1"/>
    <col min="1290" max="1292" width="7" style="122" customWidth="1"/>
    <col min="1293" max="1293" width="3.25" style="122" customWidth="1"/>
    <col min="1294" max="1297" width="12.375" style="122" customWidth="1"/>
    <col min="1298" max="1300" width="7" style="122" customWidth="1"/>
    <col min="1301" max="1301" width="3" style="122" customWidth="1"/>
    <col min="1302" max="1305" width="12.375" style="122" customWidth="1"/>
    <col min="1306" max="1308" width="7" style="122" customWidth="1"/>
    <col min="1309" max="1536" width="9" style="122"/>
    <col min="1537" max="1537" width="2.75" style="122" customWidth="1"/>
    <col min="1538" max="1538" width="18.875" style="122" customWidth="1"/>
    <col min="1539" max="1539" width="26.625" style="122" customWidth="1"/>
    <col min="1540" max="1540" width="14.375" style="122" customWidth="1"/>
    <col min="1541" max="1541" width="3.25" style="122" customWidth="1"/>
    <col min="1542" max="1545" width="12.375" style="122" customWidth="1"/>
    <col min="1546" max="1548" width="7" style="122" customWidth="1"/>
    <col min="1549" max="1549" width="3.25" style="122" customWidth="1"/>
    <col min="1550" max="1553" width="12.375" style="122" customWidth="1"/>
    <col min="1554" max="1556" width="7" style="122" customWidth="1"/>
    <col min="1557" max="1557" width="3" style="122" customWidth="1"/>
    <col min="1558" max="1561" width="12.375" style="122" customWidth="1"/>
    <col min="1562" max="1564" width="7" style="122" customWidth="1"/>
    <col min="1565" max="1792" width="9" style="122"/>
    <col min="1793" max="1793" width="2.75" style="122" customWidth="1"/>
    <col min="1794" max="1794" width="18.875" style="122" customWidth="1"/>
    <col min="1795" max="1795" width="26.625" style="122" customWidth="1"/>
    <col min="1796" max="1796" width="14.375" style="122" customWidth="1"/>
    <col min="1797" max="1797" width="3.25" style="122" customWidth="1"/>
    <col min="1798" max="1801" width="12.375" style="122" customWidth="1"/>
    <col min="1802" max="1804" width="7" style="122" customWidth="1"/>
    <col min="1805" max="1805" width="3.25" style="122" customWidth="1"/>
    <col min="1806" max="1809" width="12.375" style="122" customWidth="1"/>
    <col min="1810" max="1812" width="7" style="122" customWidth="1"/>
    <col min="1813" max="1813" width="3" style="122" customWidth="1"/>
    <col min="1814" max="1817" width="12.375" style="122" customWidth="1"/>
    <col min="1818" max="1820" width="7" style="122" customWidth="1"/>
    <col min="1821" max="2048" width="9" style="122"/>
    <col min="2049" max="2049" width="2.75" style="122" customWidth="1"/>
    <col min="2050" max="2050" width="18.875" style="122" customWidth="1"/>
    <col min="2051" max="2051" width="26.625" style="122" customWidth="1"/>
    <col min="2052" max="2052" width="14.375" style="122" customWidth="1"/>
    <col min="2053" max="2053" width="3.25" style="122" customWidth="1"/>
    <col min="2054" max="2057" width="12.375" style="122" customWidth="1"/>
    <col min="2058" max="2060" width="7" style="122" customWidth="1"/>
    <col min="2061" max="2061" width="3.25" style="122" customWidth="1"/>
    <col min="2062" max="2065" width="12.375" style="122" customWidth="1"/>
    <col min="2066" max="2068" width="7" style="122" customWidth="1"/>
    <col min="2069" max="2069" width="3" style="122" customWidth="1"/>
    <col min="2070" max="2073" width="12.375" style="122" customWidth="1"/>
    <col min="2074" max="2076" width="7" style="122" customWidth="1"/>
    <col min="2077" max="2304" width="9" style="122"/>
    <col min="2305" max="2305" width="2.75" style="122" customWidth="1"/>
    <col min="2306" max="2306" width="18.875" style="122" customWidth="1"/>
    <col min="2307" max="2307" width="26.625" style="122" customWidth="1"/>
    <col min="2308" max="2308" width="14.375" style="122" customWidth="1"/>
    <col min="2309" max="2309" width="3.25" style="122" customWidth="1"/>
    <col min="2310" max="2313" width="12.375" style="122" customWidth="1"/>
    <col min="2314" max="2316" width="7" style="122" customWidth="1"/>
    <col min="2317" max="2317" width="3.25" style="122" customWidth="1"/>
    <col min="2318" max="2321" width="12.375" style="122" customWidth="1"/>
    <col min="2322" max="2324" width="7" style="122" customWidth="1"/>
    <col min="2325" max="2325" width="3" style="122" customWidth="1"/>
    <col min="2326" max="2329" width="12.375" style="122" customWidth="1"/>
    <col min="2330" max="2332" width="7" style="122" customWidth="1"/>
    <col min="2333" max="2560" width="9" style="122"/>
    <col min="2561" max="2561" width="2.75" style="122" customWidth="1"/>
    <col min="2562" max="2562" width="18.875" style="122" customWidth="1"/>
    <col min="2563" max="2563" width="26.625" style="122" customWidth="1"/>
    <col min="2564" max="2564" width="14.375" style="122" customWidth="1"/>
    <col min="2565" max="2565" width="3.25" style="122" customWidth="1"/>
    <col min="2566" max="2569" width="12.375" style="122" customWidth="1"/>
    <col min="2570" max="2572" width="7" style="122" customWidth="1"/>
    <col min="2573" max="2573" width="3.25" style="122" customWidth="1"/>
    <col min="2574" max="2577" width="12.375" style="122" customWidth="1"/>
    <col min="2578" max="2580" width="7" style="122" customWidth="1"/>
    <col min="2581" max="2581" width="3" style="122" customWidth="1"/>
    <col min="2582" max="2585" width="12.375" style="122" customWidth="1"/>
    <col min="2586" max="2588" width="7" style="122" customWidth="1"/>
    <col min="2589" max="2816" width="9" style="122"/>
    <col min="2817" max="2817" width="2.75" style="122" customWidth="1"/>
    <col min="2818" max="2818" width="18.875" style="122" customWidth="1"/>
    <col min="2819" max="2819" width="26.625" style="122" customWidth="1"/>
    <col min="2820" max="2820" width="14.375" style="122" customWidth="1"/>
    <col min="2821" max="2821" width="3.25" style="122" customWidth="1"/>
    <col min="2822" max="2825" width="12.375" style="122" customWidth="1"/>
    <col min="2826" max="2828" width="7" style="122" customWidth="1"/>
    <col min="2829" max="2829" width="3.25" style="122" customWidth="1"/>
    <col min="2830" max="2833" width="12.375" style="122" customWidth="1"/>
    <col min="2834" max="2836" width="7" style="122" customWidth="1"/>
    <col min="2837" max="2837" width="3" style="122" customWidth="1"/>
    <col min="2838" max="2841" width="12.375" style="122" customWidth="1"/>
    <col min="2842" max="2844" width="7" style="122" customWidth="1"/>
    <col min="2845" max="3072" width="9" style="122"/>
    <col min="3073" max="3073" width="2.75" style="122" customWidth="1"/>
    <col min="3074" max="3074" width="18.875" style="122" customWidth="1"/>
    <col min="3075" max="3075" width="26.625" style="122" customWidth="1"/>
    <col min="3076" max="3076" width="14.375" style="122" customWidth="1"/>
    <col min="3077" max="3077" width="3.25" style="122" customWidth="1"/>
    <col min="3078" max="3081" width="12.375" style="122" customWidth="1"/>
    <col min="3082" max="3084" width="7" style="122" customWidth="1"/>
    <col min="3085" max="3085" width="3.25" style="122" customWidth="1"/>
    <col min="3086" max="3089" width="12.375" style="122" customWidth="1"/>
    <col min="3090" max="3092" width="7" style="122" customWidth="1"/>
    <col min="3093" max="3093" width="3" style="122" customWidth="1"/>
    <col min="3094" max="3097" width="12.375" style="122" customWidth="1"/>
    <col min="3098" max="3100" width="7" style="122" customWidth="1"/>
    <col min="3101" max="3328" width="9" style="122"/>
    <col min="3329" max="3329" width="2.75" style="122" customWidth="1"/>
    <col min="3330" max="3330" width="18.875" style="122" customWidth="1"/>
    <col min="3331" max="3331" width="26.625" style="122" customWidth="1"/>
    <col min="3332" max="3332" width="14.375" style="122" customWidth="1"/>
    <col min="3333" max="3333" width="3.25" style="122" customWidth="1"/>
    <col min="3334" max="3337" width="12.375" style="122" customWidth="1"/>
    <col min="3338" max="3340" width="7" style="122" customWidth="1"/>
    <col min="3341" max="3341" width="3.25" style="122" customWidth="1"/>
    <col min="3342" max="3345" width="12.375" style="122" customWidth="1"/>
    <col min="3346" max="3348" width="7" style="122" customWidth="1"/>
    <col min="3349" max="3349" width="3" style="122" customWidth="1"/>
    <col min="3350" max="3353" width="12.375" style="122" customWidth="1"/>
    <col min="3354" max="3356" width="7" style="122" customWidth="1"/>
    <col min="3357" max="3584" width="9" style="122"/>
    <col min="3585" max="3585" width="2.75" style="122" customWidth="1"/>
    <col min="3586" max="3586" width="18.875" style="122" customWidth="1"/>
    <col min="3587" max="3587" width="26.625" style="122" customWidth="1"/>
    <col min="3588" max="3588" width="14.375" style="122" customWidth="1"/>
    <col min="3589" max="3589" width="3.25" style="122" customWidth="1"/>
    <col min="3590" max="3593" width="12.375" style="122" customWidth="1"/>
    <col min="3594" max="3596" width="7" style="122" customWidth="1"/>
    <col min="3597" max="3597" width="3.25" style="122" customWidth="1"/>
    <col min="3598" max="3601" width="12.375" style="122" customWidth="1"/>
    <col min="3602" max="3604" width="7" style="122" customWidth="1"/>
    <col min="3605" max="3605" width="3" style="122" customWidth="1"/>
    <col min="3606" max="3609" width="12.375" style="122" customWidth="1"/>
    <col min="3610" max="3612" width="7" style="122" customWidth="1"/>
    <col min="3613" max="3840" width="9" style="122"/>
    <col min="3841" max="3841" width="2.75" style="122" customWidth="1"/>
    <col min="3842" max="3842" width="18.875" style="122" customWidth="1"/>
    <col min="3843" max="3843" width="26.625" style="122" customWidth="1"/>
    <col min="3844" max="3844" width="14.375" style="122" customWidth="1"/>
    <col min="3845" max="3845" width="3.25" style="122" customWidth="1"/>
    <col min="3846" max="3849" width="12.375" style="122" customWidth="1"/>
    <col min="3850" max="3852" width="7" style="122" customWidth="1"/>
    <col min="3853" max="3853" width="3.25" style="122" customWidth="1"/>
    <col min="3854" max="3857" width="12.375" style="122" customWidth="1"/>
    <col min="3858" max="3860" width="7" style="122" customWidth="1"/>
    <col min="3861" max="3861" width="3" style="122" customWidth="1"/>
    <col min="3862" max="3865" width="12.375" style="122" customWidth="1"/>
    <col min="3866" max="3868" width="7" style="122" customWidth="1"/>
    <col min="3869" max="4096" width="9" style="122"/>
    <col min="4097" max="4097" width="2.75" style="122" customWidth="1"/>
    <col min="4098" max="4098" width="18.875" style="122" customWidth="1"/>
    <col min="4099" max="4099" width="26.625" style="122" customWidth="1"/>
    <col min="4100" max="4100" width="14.375" style="122" customWidth="1"/>
    <col min="4101" max="4101" width="3.25" style="122" customWidth="1"/>
    <col min="4102" max="4105" width="12.375" style="122" customWidth="1"/>
    <col min="4106" max="4108" width="7" style="122" customWidth="1"/>
    <col min="4109" max="4109" width="3.25" style="122" customWidth="1"/>
    <col min="4110" max="4113" width="12.375" style="122" customWidth="1"/>
    <col min="4114" max="4116" width="7" style="122" customWidth="1"/>
    <col min="4117" max="4117" width="3" style="122" customWidth="1"/>
    <col min="4118" max="4121" width="12.375" style="122" customWidth="1"/>
    <col min="4122" max="4124" width="7" style="122" customWidth="1"/>
    <col min="4125" max="4352" width="9" style="122"/>
    <col min="4353" max="4353" width="2.75" style="122" customWidth="1"/>
    <col min="4354" max="4354" width="18.875" style="122" customWidth="1"/>
    <col min="4355" max="4355" width="26.625" style="122" customWidth="1"/>
    <col min="4356" max="4356" width="14.375" style="122" customWidth="1"/>
    <col min="4357" max="4357" width="3.25" style="122" customWidth="1"/>
    <col min="4358" max="4361" width="12.375" style="122" customWidth="1"/>
    <col min="4362" max="4364" width="7" style="122" customWidth="1"/>
    <col min="4365" max="4365" width="3.25" style="122" customWidth="1"/>
    <col min="4366" max="4369" width="12.375" style="122" customWidth="1"/>
    <col min="4370" max="4372" width="7" style="122" customWidth="1"/>
    <col min="4373" max="4373" width="3" style="122" customWidth="1"/>
    <col min="4374" max="4377" width="12.375" style="122" customWidth="1"/>
    <col min="4378" max="4380" width="7" style="122" customWidth="1"/>
    <col min="4381" max="4608" width="9" style="122"/>
    <col min="4609" max="4609" width="2.75" style="122" customWidth="1"/>
    <col min="4610" max="4610" width="18.875" style="122" customWidth="1"/>
    <col min="4611" max="4611" width="26.625" style="122" customWidth="1"/>
    <col min="4612" max="4612" width="14.375" style="122" customWidth="1"/>
    <col min="4613" max="4613" width="3.25" style="122" customWidth="1"/>
    <col min="4614" max="4617" width="12.375" style="122" customWidth="1"/>
    <col min="4618" max="4620" width="7" style="122" customWidth="1"/>
    <col min="4621" max="4621" width="3.25" style="122" customWidth="1"/>
    <col min="4622" max="4625" width="12.375" style="122" customWidth="1"/>
    <col min="4626" max="4628" width="7" style="122" customWidth="1"/>
    <col min="4629" max="4629" width="3" style="122" customWidth="1"/>
    <col min="4630" max="4633" width="12.375" style="122" customWidth="1"/>
    <col min="4634" max="4636" width="7" style="122" customWidth="1"/>
    <col min="4637" max="4864" width="9" style="122"/>
    <col min="4865" max="4865" width="2.75" style="122" customWidth="1"/>
    <col min="4866" max="4866" width="18.875" style="122" customWidth="1"/>
    <col min="4867" max="4867" width="26.625" style="122" customWidth="1"/>
    <col min="4868" max="4868" width="14.375" style="122" customWidth="1"/>
    <col min="4869" max="4869" width="3.25" style="122" customWidth="1"/>
    <col min="4870" max="4873" width="12.375" style="122" customWidth="1"/>
    <col min="4874" max="4876" width="7" style="122" customWidth="1"/>
    <col min="4877" max="4877" width="3.25" style="122" customWidth="1"/>
    <col min="4878" max="4881" width="12.375" style="122" customWidth="1"/>
    <col min="4882" max="4884" width="7" style="122" customWidth="1"/>
    <col min="4885" max="4885" width="3" style="122" customWidth="1"/>
    <col min="4886" max="4889" width="12.375" style="122" customWidth="1"/>
    <col min="4890" max="4892" width="7" style="122" customWidth="1"/>
    <col min="4893" max="5120" width="9" style="122"/>
    <col min="5121" max="5121" width="2.75" style="122" customWidth="1"/>
    <col min="5122" max="5122" width="18.875" style="122" customWidth="1"/>
    <col min="5123" max="5123" width="26.625" style="122" customWidth="1"/>
    <col min="5124" max="5124" width="14.375" style="122" customWidth="1"/>
    <col min="5125" max="5125" width="3.25" style="122" customWidth="1"/>
    <col min="5126" max="5129" width="12.375" style="122" customWidth="1"/>
    <col min="5130" max="5132" width="7" style="122" customWidth="1"/>
    <col min="5133" max="5133" width="3.25" style="122" customWidth="1"/>
    <col min="5134" max="5137" width="12.375" style="122" customWidth="1"/>
    <col min="5138" max="5140" width="7" style="122" customWidth="1"/>
    <col min="5141" max="5141" width="3" style="122" customWidth="1"/>
    <col min="5142" max="5145" width="12.375" style="122" customWidth="1"/>
    <col min="5146" max="5148" width="7" style="122" customWidth="1"/>
    <col min="5149" max="5376" width="9" style="122"/>
    <col min="5377" max="5377" width="2.75" style="122" customWidth="1"/>
    <col min="5378" max="5378" width="18.875" style="122" customWidth="1"/>
    <col min="5379" max="5379" width="26.625" style="122" customWidth="1"/>
    <col min="5380" max="5380" width="14.375" style="122" customWidth="1"/>
    <col min="5381" max="5381" width="3.25" style="122" customWidth="1"/>
    <col min="5382" max="5385" width="12.375" style="122" customWidth="1"/>
    <col min="5386" max="5388" width="7" style="122" customWidth="1"/>
    <col min="5389" max="5389" width="3.25" style="122" customWidth="1"/>
    <col min="5390" max="5393" width="12.375" style="122" customWidth="1"/>
    <col min="5394" max="5396" width="7" style="122" customWidth="1"/>
    <col min="5397" max="5397" width="3" style="122" customWidth="1"/>
    <col min="5398" max="5401" width="12.375" style="122" customWidth="1"/>
    <col min="5402" max="5404" width="7" style="122" customWidth="1"/>
    <col min="5405" max="5632" width="9" style="122"/>
    <col min="5633" max="5633" width="2.75" style="122" customWidth="1"/>
    <col min="5634" max="5634" width="18.875" style="122" customWidth="1"/>
    <col min="5635" max="5635" width="26.625" style="122" customWidth="1"/>
    <col min="5636" max="5636" width="14.375" style="122" customWidth="1"/>
    <col min="5637" max="5637" width="3.25" style="122" customWidth="1"/>
    <col min="5638" max="5641" width="12.375" style="122" customWidth="1"/>
    <col min="5642" max="5644" width="7" style="122" customWidth="1"/>
    <col min="5645" max="5645" width="3.25" style="122" customWidth="1"/>
    <col min="5646" max="5649" width="12.375" style="122" customWidth="1"/>
    <col min="5650" max="5652" width="7" style="122" customWidth="1"/>
    <col min="5653" max="5653" width="3" style="122" customWidth="1"/>
    <col min="5654" max="5657" width="12.375" style="122" customWidth="1"/>
    <col min="5658" max="5660" width="7" style="122" customWidth="1"/>
    <col min="5661" max="5888" width="9" style="122"/>
    <col min="5889" max="5889" width="2.75" style="122" customWidth="1"/>
    <col min="5890" max="5890" width="18.875" style="122" customWidth="1"/>
    <col min="5891" max="5891" width="26.625" style="122" customWidth="1"/>
    <col min="5892" max="5892" width="14.375" style="122" customWidth="1"/>
    <col min="5893" max="5893" width="3.25" style="122" customWidth="1"/>
    <col min="5894" max="5897" width="12.375" style="122" customWidth="1"/>
    <col min="5898" max="5900" width="7" style="122" customWidth="1"/>
    <col min="5901" max="5901" width="3.25" style="122" customWidth="1"/>
    <col min="5902" max="5905" width="12.375" style="122" customWidth="1"/>
    <col min="5906" max="5908" width="7" style="122" customWidth="1"/>
    <col min="5909" max="5909" width="3" style="122" customWidth="1"/>
    <col min="5910" max="5913" width="12.375" style="122" customWidth="1"/>
    <col min="5914" max="5916" width="7" style="122" customWidth="1"/>
    <col min="5917" max="6144" width="9" style="122"/>
    <col min="6145" max="6145" width="2.75" style="122" customWidth="1"/>
    <col min="6146" max="6146" width="18.875" style="122" customWidth="1"/>
    <col min="6147" max="6147" width="26.625" style="122" customWidth="1"/>
    <col min="6148" max="6148" width="14.375" style="122" customWidth="1"/>
    <col min="6149" max="6149" width="3.25" style="122" customWidth="1"/>
    <col min="6150" max="6153" width="12.375" style="122" customWidth="1"/>
    <col min="6154" max="6156" width="7" style="122" customWidth="1"/>
    <col min="6157" max="6157" width="3.25" style="122" customWidth="1"/>
    <col min="6158" max="6161" width="12.375" style="122" customWidth="1"/>
    <col min="6162" max="6164" width="7" style="122" customWidth="1"/>
    <col min="6165" max="6165" width="3" style="122" customWidth="1"/>
    <col min="6166" max="6169" width="12.375" style="122" customWidth="1"/>
    <col min="6170" max="6172" width="7" style="122" customWidth="1"/>
    <col min="6173" max="6400" width="9" style="122"/>
    <col min="6401" max="6401" width="2.75" style="122" customWidth="1"/>
    <col min="6402" max="6402" width="18.875" style="122" customWidth="1"/>
    <col min="6403" max="6403" width="26.625" style="122" customWidth="1"/>
    <col min="6404" max="6404" width="14.375" style="122" customWidth="1"/>
    <col min="6405" max="6405" width="3.25" style="122" customWidth="1"/>
    <col min="6406" max="6409" width="12.375" style="122" customWidth="1"/>
    <col min="6410" max="6412" width="7" style="122" customWidth="1"/>
    <col min="6413" max="6413" width="3.25" style="122" customWidth="1"/>
    <col min="6414" max="6417" width="12.375" style="122" customWidth="1"/>
    <col min="6418" max="6420" width="7" style="122" customWidth="1"/>
    <col min="6421" max="6421" width="3" style="122" customWidth="1"/>
    <col min="6422" max="6425" width="12.375" style="122" customWidth="1"/>
    <col min="6426" max="6428" width="7" style="122" customWidth="1"/>
    <col min="6429" max="6656" width="9" style="122"/>
    <col min="6657" max="6657" width="2.75" style="122" customWidth="1"/>
    <col min="6658" max="6658" width="18.875" style="122" customWidth="1"/>
    <col min="6659" max="6659" width="26.625" style="122" customWidth="1"/>
    <col min="6660" max="6660" width="14.375" style="122" customWidth="1"/>
    <col min="6661" max="6661" width="3.25" style="122" customWidth="1"/>
    <col min="6662" max="6665" width="12.375" style="122" customWidth="1"/>
    <col min="6666" max="6668" width="7" style="122" customWidth="1"/>
    <col min="6669" max="6669" width="3.25" style="122" customWidth="1"/>
    <col min="6670" max="6673" width="12.375" style="122" customWidth="1"/>
    <col min="6674" max="6676" width="7" style="122" customWidth="1"/>
    <col min="6677" max="6677" width="3" style="122" customWidth="1"/>
    <col min="6678" max="6681" width="12.375" style="122" customWidth="1"/>
    <col min="6682" max="6684" width="7" style="122" customWidth="1"/>
    <col min="6685" max="6912" width="9" style="122"/>
    <col min="6913" max="6913" width="2.75" style="122" customWidth="1"/>
    <col min="6914" max="6914" width="18.875" style="122" customWidth="1"/>
    <col min="6915" max="6915" width="26.625" style="122" customWidth="1"/>
    <col min="6916" max="6916" width="14.375" style="122" customWidth="1"/>
    <col min="6917" max="6917" width="3.25" style="122" customWidth="1"/>
    <col min="6918" max="6921" width="12.375" style="122" customWidth="1"/>
    <col min="6922" max="6924" width="7" style="122" customWidth="1"/>
    <col min="6925" max="6925" width="3.25" style="122" customWidth="1"/>
    <col min="6926" max="6929" width="12.375" style="122" customWidth="1"/>
    <col min="6930" max="6932" width="7" style="122" customWidth="1"/>
    <col min="6933" max="6933" width="3" style="122" customWidth="1"/>
    <col min="6934" max="6937" width="12.375" style="122" customWidth="1"/>
    <col min="6938" max="6940" width="7" style="122" customWidth="1"/>
    <col min="6941" max="7168" width="9" style="122"/>
    <col min="7169" max="7169" width="2.75" style="122" customWidth="1"/>
    <col min="7170" max="7170" width="18.875" style="122" customWidth="1"/>
    <col min="7171" max="7171" width="26.625" style="122" customWidth="1"/>
    <col min="7172" max="7172" width="14.375" style="122" customWidth="1"/>
    <col min="7173" max="7173" width="3.25" style="122" customWidth="1"/>
    <col min="7174" max="7177" width="12.375" style="122" customWidth="1"/>
    <col min="7178" max="7180" width="7" style="122" customWidth="1"/>
    <col min="7181" max="7181" width="3.25" style="122" customWidth="1"/>
    <col min="7182" max="7185" width="12.375" style="122" customWidth="1"/>
    <col min="7186" max="7188" width="7" style="122" customWidth="1"/>
    <col min="7189" max="7189" width="3" style="122" customWidth="1"/>
    <col min="7190" max="7193" width="12.375" style="122" customWidth="1"/>
    <col min="7194" max="7196" width="7" style="122" customWidth="1"/>
    <col min="7197" max="7424" width="9" style="122"/>
    <col min="7425" max="7425" width="2.75" style="122" customWidth="1"/>
    <col min="7426" max="7426" width="18.875" style="122" customWidth="1"/>
    <col min="7427" max="7427" width="26.625" style="122" customWidth="1"/>
    <col min="7428" max="7428" width="14.375" style="122" customWidth="1"/>
    <col min="7429" max="7429" width="3.25" style="122" customWidth="1"/>
    <col min="7430" max="7433" width="12.375" style="122" customWidth="1"/>
    <col min="7434" max="7436" width="7" style="122" customWidth="1"/>
    <col min="7437" max="7437" width="3.25" style="122" customWidth="1"/>
    <col min="7438" max="7441" width="12.375" style="122" customWidth="1"/>
    <col min="7442" max="7444" width="7" style="122" customWidth="1"/>
    <col min="7445" max="7445" width="3" style="122" customWidth="1"/>
    <col min="7446" max="7449" width="12.375" style="122" customWidth="1"/>
    <col min="7450" max="7452" width="7" style="122" customWidth="1"/>
    <col min="7453" max="7680" width="9" style="122"/>
    <col min="7681" max="7681" width="2.75" style="122" customWidth="1"/>
    <col min="7682" max="7682" width="18.875" style="122" customWidth="1"/>
    <col min="7683" max="7683" width="26.625" style="122" customWidth="1"/>
    <col min="7684" max="7684" width="14.375" style="122" customWidth="1"/>
    <col min="7685" max="7685" width="3.25" style="122" customWidth="1"/>
    <col min="7686" max="7689" width="12.375" style="122" customWidth="1"/>
    <col min="7690" max="7692" width="7" style="122" customWidth="1"/>
    <col min="7693" max="7693" width="3.25" style="122" customWidth="1"/>
    <col min="7694" max="7697" width="12.375" style="122" customWidth="1"/>
    <col min="7698" max="7700" width="7" style="122" customWidth="1"/>
    <col min="7701" max="7701" width="3" style="122" customWidth="1"/>
    <col min="7702" max="7705" width="12.375" style="122" customWidth="1"/>
    <col min="7706" max="7708" width="7" style="122" customWidth="1"/>
    <col min="7709" max="7936" width="9" style="122"/>
    <col min="7937" max="7937" width="2.75" style="122" customWidth="1"/>
    <col min="7938" max="7938" width="18.875" style="122" customWidth="1"/>
    <col min="7939" max="7939" width="26.625" style="122" customWidth="1"/>
    <col min="7940" max="7940" width="14.375" style="122" customWidth="1"/>
    <col min="7941" max="7941" width="3.25" style="122" customWidth="1"/>
    <col min="7942" max="7945" width="12.375" style="122" customWidth="1"/>
    <col min="7946" max="7948" width="7" style="122" customWidth="1"/>
    <col min="7949" max="7949" width="3.25" style="122" customWidth="1"/>
    <col min="7950" max="7953" width="12.375" style="122" customWidth="1"/>
    <col min="7954" max="7956" width="7" style="122" customWidth="1"/>
    <col min="7957" max="7957" width="3" style="122" customWidth="1"/>
    <col min="7958" max="7961" width="12.375" style="122" customWidth="1"/>
    <col min="7962" max="7964" width="7" style="122" customWidth="1"/>
    <col min="7965" max="8192" width="9" style="122"/>
    <col min="8193" max="8193" width="2.75" style="122" customWidth="1"/>
    <col min="8194" max="8194" width="18.875" style="122" customWidth="1"/>
    <col min="8195" max="8195" width="26.625" style="122" customWidth="1"/>
    <col min="8196" max="8196" width="14.375" style="122" customWidth="1"/>
    <col min="8197" max="8197" width="3.25" style="122" customWidth="1"/>
    <col min="8198" max="8201" width="12.375" style="122" customWidth="1"/>
    <col min="8202" max="8204" width="7" style="122" customWidth="1"/>
    <col min="8205" max="8205" width="3.25" style="122" customWidth="1"/>
    <col min="8206" max="8209" width="12.375" style="122" customWidth="1"/>
    <col min="8210" max="8212" width="7" style="122" customWidth="1"/>
    <col min="8213" max="8213" width="3" style="122" customWidth="1"/>
    <col min="8214" max="8217" width="12.375" style="122" customWidth="1"/>
    <col min="8218" max="8220" width="7" style="122" customWidth="1"/>
    <col min="8221" max="8448" width="9" style="122"/>
    <col min="8449" max="8449" width="2.75" style="122" customWidth="1"/>
    <col min="8450" max="8450" width="18.875" style="122" customWidth="1"/>
    <col min="8451" max="8451" width="26.625" style="122" customWidth="1"/>
    <col min="8452" max="8452" width="14.375" style="122" customWidth="1"/>
    <col min="8453" max="8453" width="3.25" style="122" customWidth="1"/>
    <col min="8454" max="8457" width="12.375" style="122" customWidth="1"/>
    <col min="8458" max="8460" width="7" style="122" customWidth="1"/>
    <col min="8461" max="8461" width="3.25" style="122" customWidth="1"/>
    <col min="8462" max="8465" width="12.375" style="122" customWidth="1"/>
    <col min="8466" max="8468" width="7" style="122" customWidth="1"/>
    <col min="8469" max="8469" width="3" style="122" customWidth="1"/>
    <col min="8470" max="8473" width="12.375" style="122" customWidth="1"/>
    <col min="8474" max="8476" width="7" style="122" customWidth="1"/>
    <col min="8477" max="8704" width="9" style="122"/>
    <col min="8705" max="8705" width="2.75" style="122" customWidth="1"/>
    <col min="8706" max="8706" width="18.875" style="122" customWidth="1"/>
    <col min="8707" max="8707" width="26.625" style="122" customWidth="1"/>
    <col min="8708" max="8708" width="14.375" style="122" customWidth="1"/>
    <col min="8709" max="8709" width="3.25" style="122" customWidth="1"/>
    <col min="8710" max="8713" width="12.375" style="122" customWidth="1"/>
    <col min="8714" max="8716" width="7" style="122" customWidth="1"/>
    <col min="8717" max="8717" width="3.25" style="122" customWidth="1"/>
    <col min="8718" max="8721" width="12.375" style="122" customWidth="1"/>
    <col min="8722" max="8724" width="7" style="122" customWidth="1"/>
    <col min="8725" max="8725" width="3" style="122" customWidth="1"/>
    <col min="8726" max="8729" width="12.375" style="122" customWidth="1"/>
    <col min="8730" max="8732" width="7" style="122" customWidth="1"/>
    <col min="8733" max="8960" width="9" style="122"/>
    <col min="8961" max="8961" width="2.75" style="122" customWidth="1"/>
    <col min="8962" max="8962" width="18.875" style="122" customWidth="1"/>
    <col min="8963" max="8963" width="26.625" style="122" customWidth="1"/>
    <col min="8964" max="8964" width="14.375" style="122" customWidth="1"/>
    <col min="8965" max="8965" width="3.25" style="122" customWidth="1"/>
    <col min="8966" max="8969" width="12.375" style="122" customWidth="1"/>
    <col min="8970" max="8972" width="7" style="122" customWidth="1"/>
    <col min="8973" max="8973" width="3.25" style="122" customWidth="1"/>
    <col min="8974" max="8977" width="12.375" style="122" customWidth="1"/>
    <col min="8978" max="8980" width="7" style="122" customWidth="1"/>
    <col min="8981" max="8981" width="3" style="122" customWidth="1"/>
    <col min="8982" max="8985" width="12.375" style="122" customWidth="1"/>
    <col min="8986" max="8988" width="7" style="122" customWidth="1"/>
    <col min="8989" max="9216" width="9" style="122"/>
    <col min="9217" max="9217" width="2.75" style="122" customWidth="1"/>
    <col min="9218" max="9218" width="18.875" style="122" customWidth="1"/>
    <col min="9219" max="9219" width="26.625" style="122" customWidth="1"/>
    <col min="9220" max="9220" width="14.375" style="122" customWidth="1"/>
    <col min="9221" max="9221" width="3.25" style="122" customWidth="1"/>
    <col min="9222" max="9225" width="12.375" style="122" customWidth="1"/>
    <col min="9226" max="9228" width="7" style="122" customWidth="1"/>
    <col min="9229" max="9229" width="3.25" style="122" customWidth="1"/>
    <col min="9230" max="9233" width="12.375" style="122" customWidth="1"/>
    <col min="9234" max="9236" width="7" style="122" customWidth="1"/>
    <col min="9237" max="9237" width="3" style="122" customWidth="1"/>
    <col min="9238" max="9241" width="12.375" style="122" customWidth="1"/>
    <col min="9242" max="9244" width="7" style="122" customWidth="1"/>
    <col min="9245" max="9472" width="9" style="122"/>
    <col min="9473" max="9473" width="2.75" style="122" customWidth="1"/>
    <col min="9474" max="9474" width="18.875" style="122" customWidth="1"/>
    <col min="9475" max="9475" width="26.625" style="122" customWidth="1"/>
    <col min="9476" max="9476" width="14.375" style="122" customWidth="1"/>
    <col min="9477" max="9477" width="3.25" style="122" customWidth="1"/>
    <col min="9478" max="9481" width="12.375" style="122" customWidth="1"/>
    <col min="9482" max="9484" width="7" style="122" customWidth="1"/>
    <col min="9485" max="9485" width="3.25" style="122" customWidth="1"/>
    <col min="9486" max="9489" width="12.375" style="122" customWidth="1"/>
    <col min="9490" max="9492" width="7" style="122" customWidth="1"/>
    <col min="9493" max="9493" width="3" style="122" customWidth="1"/>
    <col min="9494" max="9497" width="12.375" style="122" customWidth="1"/>
    <col min="9498" max="9500" width="7" style="122" customWidth="1"/>
    <col min="9501" max="9728" width="9" style="122"/>
    <col min="9729" max="9729" width="2.75" style="122" customWidth="1"/>
    <col min="9730" max="9730" width="18.875" style="122" customWidth="1"/>
    <col min="9731" max="9731" width="26.625" style="122" customWidth="1"/>
    <col min="9732" max="9732" width="14.375" style="122" customWidth="1"/>
    <col min="9733" max="9733" width="3.25" style="122" customWidth="1"/>
    <col min="9734" max="9737" width="12.375" style="122" customWidth="1"/>
    <col min="9738" max="9740" width="7" style="122" customWidth="1"/>
    <col min="9741" max="9741" width="3.25" style="122" customWidth="1"/>
    <col min="9742" max="9745" width="12.375" style="122" customWidth="1"/>
    <col min="9746" max="9748" width="7" style="122" customWidth="1"/>
    <col min="9749" max="9749" width="3" style="122" customWidth="1"/>
    <col min="9750" max="9753" width="12.375" style="122" customWidth="1"/>
    <col min="9754" max="9756" width="7" style="122" customWidth="1"/>
    <col min="9757" max="9984" width="9" style="122"/>
    <col min="9985" max="9985" width="2.75" style="122" customWidth="1"/>
    <col min="9986" max="9986" width="18.875" style="122" customWidth="1"/>
    <col min="9987" max="9987" width="26.625" style="122" customWidth="1"/>
    <col min="9988" max="9988" width="14.375" style="122" customWidth="1"/>
    <col min="9989" max="9989" width="3.25" style="122" customWidth="1"/>
    <col min="9990" max="9993" width="12.375" style="122" customWidth="1"/>
    <col min="9994" max="9996" width="7" style="122" customWidth="1"/>
    <col min="9997" max="9997" width="3.25" style="122" customWidth="1"/>
    <col min="9998" max="10001" width="12.375" style="122" customWidth="1"/>
    <col min="10002" max="10004" width="7" style="122" customWidth="1"/>
    <col min="10005" max="10005" width="3" style="122" customWidth="1"/>
    <col min="10006" max="10009" width="12.375" style="122" customWidth="1"/>
    <col min="10010" max="10012" width="7" style="122" customWidth="1"/>
    <col min="10013" max="10240" width="9" style="122"/>
    <col min="10241" max="10241" width="2.75" style="122" customWidth="1"/>
    <col min="10242" max="10242" width="18.875" style="122" customWidth="1"/>
    <col min="10243" max="10243" width="26.625" style="122" customWidth="1"/>
    <col min="10244" max="10244" width="14.375" style="122" customWidth="1"/>
    <col min="10245" max="10245" width="3.25" style="122" customWidth="1"/>
    <col min="10246" max="10249" width="12.375" style="122" customWidth="1"/>
    <col min="10250" max="10252" width="7" style="122" customWidth="1"/>
    <col min="10253" max="10253" width="3.25" style="122" customWidth="1"/>
    <col min="10254" max="10257" width="12.375" style="122" customWidth="1"/>
    <col min="10258" max="10260" width="7" style="122" customWidth="1"/>
    <col min="10261" max="10261" width="3" style="122" customWidth="1"/>
    <col min="10262" max="10265" width="12.375" style="122" customWidth="1"/>
    <col min="10266" max="10268" width="7" style="122" customWidth="1"/>
    <col min="10269" max="10496" width="9" style="122"/>
    <col min="10497" max="10497" width="2.75" style="122" customWidth="1"/>
    <col min="10498" max="10498" width="18.875" style="122" customWidth="1"/>
    <col min="10499" max="10499" width="26.625" style="122" customWidth="1"/>
    <col min="10500" max="10500" width="14.375" style="122" customWidth="1"/>
    <col min="10501" max="10501" width="3.25" style="122" customWidth="1"/>
    <col min="10502" max="10505" width="12.375" style="122" customWidth="1"/>
    <col min="10506" max="10508" width="7" style="122" customWidth="1"/>
    <col min="10509" max="10509" width="3.25" style="122" customWidth="1"/>
    <col min="10510" max="10513" width="12.375" style="122" customWidth="1"/>
    <col min="10514" max="10516" width="7" style="122" customWidth="1"/>
    <col min="10517" max="10517" width="3" style="122" customWidth="1"/>
    <col min="10518" max="10521" width="12.375" style="122" customWidth="1"/>
    <col min="10522" max="10524" width="7" style="122" customWidth="1"/>
    <col min="10525" max="10752" width="9" style="122"/>
    <col min="10753" max="10753" width="2.75" style="122" customWidth="1"/>
    <col min="10754" max="10754" width="18.875" style="122" customWidth="1"/>
    <col min="10755" max="10755" width="26.625" style="122" customWidth="1"/>
    <col min="10756" max="10756" width="14.375" style="122" customWidth="1"/>
    <col min="10757" max="10757" width="3.25" style="122" customWidth="1"/>
    <col min="10758" max="10761" width="12.375" style="122" customWidth="1"/>
    <col min="10762" max="10764" width="7" style="122" customWidth="1"/>
    <col min="10765" max="10765" width="3.25" style="122" customWidth="1"/>
    <col min="10766" max="10769" width="12.375" style="122" customWidth="1"/>
    <col min="10770" max="10772" width="7" style="122" customWidth="1"/>
    <col min="10773" max="10773" width="3" style="122" customWidth="1"/>
    <col min="10774" max="10777" width="12.375" style="122" customWidth="1"/>
    <col min="10778" max="10780" width="7" style="122" customWidth="1"/>
    <col min="10781" max="11008" width="9" style="122"/>
    <col min="11009" max="11009" width="2.75" style="122" customWidth="1"/>
    <col min="11010" max="11010" width="18.875" style="122" customWidth="1"/>
    <col min="11011" max="11011" width="26.625" style="122" customWidth="1"/>
    <col min="11012" max="11012" width="14.375" style="122" customWidth="1"/>
    <col min="11013" max="11013" width="3.25" style="122" customWidth="1"/>
    <col min="11014" max="11017" width="12.375" style="122" customWidth="1"/>
    <col min="11018" max="11020" width="7" style="122" customWidth="1"/>
    <col min="11021" max="11021" width="3.25" style="122" customWidth="1"/>
    <col min="11022" max="11025" width="12.375" style="122" customWidth="1"/>
    <col min="11026" max="11028" width="7" style="122" customWidth="1"/>
    <col min="11029" max="11029" width="3" style="122" customWidth="1"/>
    <col min="11030" max="11033" width="12.375" style="122" customWidth="1"/>
    <col min="11034" max="11036" width="7" style="122" customWidth="1"/>
    <col min="11037" max="11264" width="9" style="122"/>
    <col min="11265" max="11265" width="2.75" style="122" customWidth="1"/>
    <col min="11266" max="11266" width="18.875" style="122" customWidth="1"/>
    <col min="11267" max="11267" width="26.625" style="122" customWidth="1"/>
    <col min="11268" max="11268" width="14.375" style="122" customWidth="1"/>
    <col min="11269" max="11269" width="3.25" style="122" customWidth="1"/>
    <col min="11270" max="11273" width="12.375" style="122" customWidth="1"/>
    <col min="11274" max="11276" width="7" style="122" customWidth="1"/>
    <col min="11277" max="11277" width="3.25" style="122" customWidth="1"/>
    <col min="11278" max="11281" width="12.375" style="122" customWidth="1"/>
    <col min="11282" max="11284" width="7" style="122" customWidth="1"/>
    <col min="11285" max="11285" width="3" style="122" customWidth="1"/>
    <col min="11286" max="11289" width="12.375" style="122" customWidth="1"/>
    <col min="11290" max="11292" width="7" style="122" customWidth="1"/>
    <col min="11293" max="11520" width="9" style="122"/>
    <col min="11521" max="11521" width="2.75" style="122" customWidth="1"/>
    <col min="11522" max="11522" width="18.875" style="122" customWidth="1"/>
    <col min="11523" max="11523" width="26.625" style="122" customWidth="1"/>
    <col min="11524" max="11524" width="14.375" style="122" customWidth="1"/>
    <col min="11525" max="11525" width="3.25" style="122" customWidth="1"/>
    <col min="11526" max="11529" width="12.375" style="122" customWidth="1"/>
    <col min="11530" max="11532" width="7" style="122" customWidth="1"/>
    <col min="11533" max="11533" width="3.25" style="122" customWidth="1"/>
    <col min="11534" max="11537" width="12.375" style="122" customWidth="1"/>
    <col min="11538" max="11540" width="7" style="122" customWidth="1"/>
    <col min="11541" max="11541" width="3" style="122" customWidth="1"/>
    <col min="11542" max="11545" width="12.375" style="122" customWidth="1"/>
    <col min="11546" max="11548" width="7" style="122" customWidth="1"/>
    <col min="11549" max="11776" width="9" style="122"/>
    <col min="11777" max="11777" width="2.75" style="122" customWidth="1"/>
    <col min="11778" max="11778" width="18.875" style="122" customWidth="1"/>
    <col min="11779" max="11779" width="26.625" style="122" customWidth="1"/>
    <col min="11780" max="11780" width="14.375" style="122" customWidth="1"/>
    <col min="11781" max="11781" width="3.25" style="122" customWidth="1"/>
    <col min="11782" max="11785" width="12.375" style="122" customWidth="1"/>
    <col min="11786" max="11788" width="7" style="122" customWidth="1"/>
    <col min="11789" max="11789" width="3.25" style="122" customWidth="1"/>
    <col min="11790" max="11793" width="12.375" style="122" customWidth="1"/>
    <col min="11794" max="11796" width="7" style="122" customWidth="1"/>
    <col min="11797" max="11797" width="3" style="122" customWidth="1"/>
    <col min="11798" max="11801" width="12.375" style="122" customWidth="1"/>
    <col min="11802" max="11804" width="7" style="122" customWidth="1"/>
    <col min="11805" max="12032" width="9" style="122"/>
    <col min="12033" max="12033" width="2.75" style="122" customWidth="1"/>
    <col min="12034" max="12034" width="18.875" style="122" customWidth="1"/>
    <col min="12035" max="12035" width="26.625" style="122" customWidth="1"/>
    <col min="12036" max="12036" width="14.375" style="122" customWidth="1"/>
    <col min="12037" max="12037" width="3.25" style="122" customWidth="1"/>
    <col min="12038" max="12041" width="12.375" style="122" customWidth="1"/>
    <col min="12042" max="12044" width="7" style="122" customWidth="1"/>
    <col min="12045" max="12045" width="3.25" style="122" customWidth="1"/>
    <col min="12046" max="12049" width="12.375" style="122" customWidth="1"/>
    <col min="12050" max="12052" width="7" style="122" customWidth="1"/>
    <col min="12053" max="12053" width="3" style="122" customWidth="1"/>
    <col min="12054" max="12057" width="12.375" style="122" customWidth="1"/>
    <col min="12058" max="12060" width="7" style="122" customWidth="1"/>
    <col min="12061" max="12288" width="9" style="122"/>
    <col min="12289" max="12289" width="2.75" style="122" customWidth="1"/>
    <col min="12290" max="12290" width="18.875" style="122" customWidth="1"/>
    <col min="12291" max="12291" width="26.625" style="122" customWidth="1"/>
    <col min="12292" max="12292" width="14.375" style="122" customWidth="1"/>
    <col min="12293" max="12293" width="3.25" style="122" customWidth="1"/>
    <col min="12294" max="12297" width="12.375" style="122" customWidth="1"/>
    <col min="12298" max="12300" width="7" style="122" customWidth="1"/>
    <col min="12301" max="12301" width="3.25" style="122" customWidth="1"/>
    <col min="12302" max="12305" width="12.375" style="122" customWidth="1"/>
    <col min="12306" max="12308" width="7" style="122" customWidth="1"/>
    <col min="12309" max="12309" width="3" style="122" customWidth="1"/>
    <col min="12310" max="12313" width="12.375" style="122" customWidth="1"/>
    <col min="12314" max="12316" width="7" style="122" customWidth="1"/>
    <col min="12317" max="12544" width="9" style="122"/>
    <col min="12545" max="12545" width="2.75" style="122" customWidth="1"/>
    <col min="12546" max="12546" width="18.875" style="122" customWidth="1"/>
    <col min="12547" max="12547" width="26.625" style="122" customWidth="1"/>
    <col min="12548" max="12548" width="14.375" style="122" customWidth="1"/>
    <col min="12549" max="12549" width="3.25" style="122" customWidth="1"/>
    <col min="12550" max="12553" width="12.375" style="122" customWidth="1"/>
    <col min="12554" max="12556" width="7" style="122" customWidth="1"/>
    <col min="12557" max="12557" width="3.25" style="122" customWidth="1"/>
    <col min="12558" max="12561" width="12.375" style="122" customWidth="1"/>
    <col min="12562" max="12564" width="7" style="122" customWidth="1"/>
    <col min="12565" max="12565" width="3" style="122" customWidth="1"/>
    <col min="12566" max="12569" width="12.375" style="122" customWidth="1"/>
    <col min="12570" max="12572" width="7" style="122" customWidth="1"/>
    <col min="12573" max="12800" width="9" style="122"/>
    <col min="12801" max="12801" width="2.75" style="122" customWidth="1"/>
    <col min="12802" max="12802" width="18.875" style="122" customWidth="1"/>
    <col min="12803" max="12803" width="26.625" style="122" customWidth="1"/>
    <col min="12804" max="12804" width="14.375" style="122" customWidth="1"/>
    <col min="12805" max="12805" width="3.25" style="122" customWidth="1"/>
    <col min="12806" max="12809" width="12.375" style="122" customWidth="1"/>
    <col min="12810" max="12812" width="7" style="122" customWidth="1"/>
    <col min="12813" max="12813" width="3.25" style="122" customWidth="1"/>
    <col min="12814" max="12817" width="12.375" style="122" customWidth="1"/>
    <col min="12818" max="12820" width="7" style="122" customWidth="1"/>
    <col min="12821" max="12821" width="3" style="122" customWidth="1"/>
    <col min="12822" max="12825" width="12.375" style="122" customWidth="1"/>
    <col min="12826" max="12828" width="7" style="122" customWidth="1"/>
    <col min="12829" max="13056" width="9" style="122"/>
    <col min="13057" max="13057" width="2.75" style="122" customWidth="1"/>
    <col min="13058" max="13058" width="18.875" style="122" customWidth="1"/>
    <col min="13059" max="13059" width="26.625" style="122" customWidth="1"/>
    <col min="13060" max="13060" width="14.375" style="122" customWidth="1"/>
    <col min="13061" max="13061" width="3.25" style="122" customWidth="1"/>
    <col min="13062" max="13065" width="12.375" style="122" customWidth="1"/>
    <col min="13066" max="13068" width="7" style="122" customWidth="1"/>
    <col min="13069" max="13069" width="3.25" style="122" customWidth="1"/>
    <col min="13070" max="13073" width="12.375" style="122" customWidth="1"/>
    <col min="13074" max="13076" width="7" style="122" customWidth="1"/>
    <col min="13077" max="13077" width="3" style="122" customWidth="1"/>
    <col min="13078" max="13081" width="12.375" style="122" customWidth="1"/>
    <col min="13082" max="13084" width="7" style="122" customWidth="1"/>
    <col min="13085" max="13312" width="9" style="122"/>
    <col min="13313" max="13313" width="2.75" style="122" customWidth="1"/>
    <col min="13314" max="13314" width="18.875" style="122" customWidth="1"/>
    <col min="13315" max="13315" width="26.625" style="122" customWidth="1"/>
    <col min="13316" max="13316" width="14.375" style="122" customWidth="1"/>
    <col min="13317" max="13317" width="3.25" style="122" customWidth="1"/>
    <col min="13318" max="13321" width="12.375" style="122" customWidth="1"/>
    <col min="13322" max="13324" width="7" style="122" customWidth="1"/>
    <col min="13325" max="13325" width="3.25" style="122" customWidth="1"/>
    <col min="13326" max="13329" width="12.375" style="122" customWidth="1"/>
    <col min="13330" max="13332" width="7" style="122" customWidth="1"/>
    <col min="13333" max="13333" width="3" style="122" customWidth="1"/>
    <col min="13334" max="13337" width="12.375" style="122" customWidth="1"/>
    <col min="13338" max="13340" width="7" style="122" customWidth="1"/>
    <col min="13341" max="13568" width="9" style="122"/>
    <col min="13569" max="13569" width="2.75" style="122" customWidth="1"/>
    <col min="13570" max="13570" width="18.875" style="122" customWidth="1"/>
    <col min="13571" max="13571" width="26.625" style="122" customWidth="1"/>
    <col min="13572" max="13572" width="14.375" style="122" customWidth="1"/>
    <col min="13573" max="13573" width="3.25" style="122" customWidth="1"/>
    <col min="13574" max="13577" width="12.375" style="122" customWidth="1"/>
    <col min="13578" max="13580" width="7" style="122" customWidth="1"/>
    <col min="13581" max="13581" width="3.25" style="122" customWidth="1"/>
    <col min="13582" max="13585" width="12.375" style="122" customWidth="1"/>
    <col min="13586" max="13588" width="7" style="122" customWidth="1"/>
    <col min="13589" max="13589" width="3" style="122" customWidth="1"/>
    <col min="13590" max="13593" width="12.375" style="122" customWidth="1"/>
    <col min="13594" max="13596" width="7" style="122" customWidth="1"/>
    <col min="13597" max="13824" width="9" style="122"/>
    <col min="13825" max="13825" width="2.75" style="122" customWidth="1"/>
    <col min="13826" max="13826" width="18.875" style="122" customWidth="1"/>
    <col min="13827" max="13827" width="26.625" style="122" customWidth="1"/>
    <col min="13828" max="13828" width="14.375" style="122" customWidth="1"/>
    <col min="13829" max="13829" width="3.25" style="122" customWidth="1"/>
    <col min="13830" max="13833" width="12.375" style="122" customWidth="1"/>
    <col min="13834" max="13836" width="7" style="122" customWidth="1"/>
    <col min="13837" max="13837" width="3.25" style="122" customWidth="1"/>
    <col min="13838" max="13841" width="12.375" style="122" customWidth="1"/>
    <col min="13842" max="13844" width="7" style="122" customWidth="1"/>
    <col min="13845" max="13845" width="3" style="122" customWidth="1"/>
    <col min="13846" max="13849" width="12.375" style="122" customWidth="1"/>
    <col min="13850" max="13852" width="7" style="122" customWidth="1"/>
    <col min="13853" max="14080" width="9" style="122"/>
    <col min="14081" max="14081" width="2.75" style="122" customWidth="1"/>
    <col min="14082" max="14082" width="18.875" style="122" customWidth="1"/>
    <col min="14083" max="14083" width="26.625" style="122" customWidth="1"/>
    <col min="14084" max="14084" width="14.375" style="122" customWidth="1"/>
    <col min="14085" max="14085" width="3.25" style="122" customWidth="1"/>
    <col min="14086" max="14089" width="12.375" style="122" customWidth="1"/>
    <col min="14090" max="14092" width="7" style="122" customWidth="1"/>
    <col min="14093" max="14093" width="3.25" style="122" customWidth="1"/>
    <col min="14094" max="14097" width="12.375" style="122" customWidth="1"/>
    <col min="14098" max="14100" width="7" style="122" customWidth="1"/>
    <col min="14101" max="14101" width="3" style="122" customWidth="1"/>
    <col min="14102" max="14105" width="12.375" style="122" customWidth="1"/>
    <col min="14106" max="14108" width="7" style="122" customWidth="1"/>
    <col min="14109" max="14336" width="9" style="122"/>
    <col min="14337" max="14337" width="2.75" style="122" customWidth="1"/>
    <col min="14338" max="14338" width="18.875" style="122" customWidth="1"/>
    <col min="14339" max="14339" width="26.625" style="122" customWidth="1"/>
    <col min="14340" max="14340" width="14.375" style="122" customWidth="1"/>
    <col min="14341" max="14341" width="3.25" style="122" customWidth="1"/>
    <col min="14342" max="14345" width="12.375" style="122" customWidth="1"/>
    <col min="14346" max="14348" width="7" style="122" customWidth="1"/>
    <col min="14349" max="14349" width="3.25" style="122" customWidth="1"/>
    <col min="14350" max="14353" width="12.375" style="122" customWidth="1"/>
    <col min="14354" max="14356" width="7" style="122" customWidth="1"/>
    <col min="14357" max="14357" width="3" style="122" customWidth="1"/>
    <col min="14358" max="14361" width="12.375" style="122" customWidth="1"/>
    <col min="14362" max="14364" width="7" style="122" customWidth="1"/>
    <col min="14365" max="14592" width="9" style="122"/>
    <col min="14593" max="14593" width="2.75" style="122" customWidth="1"/>
    <col min="14594" max="14594" width="18.875" style="122" customWidth="1"/>
    <col min="14595" max="14595" width="26.625" style="122" customWidth="1"/>
    <col min="14596" max="14596" width="14.375" style="122" customWidth="1"/>
    <col min="14597" max="14597" width="3.25" style="122" customWidth="1"/>
    <col min="14598" max="14601" width="12.375" style="122" customWidth="1"/>
    <col min="14602" max="14604" width="7" style="122" customWidth="1"/>
    <col min="14605" max="14605" width="3.25" style="122" customWidth="1"/>
    <col min="14606" max="14609" width="12.375" style="122" customWidth="1"/>
    <col min="14610" max="14612" width="7" style="122" customWidth="1"/>
    <col min="14613" max="14613" width="3" style="122" customWidth="1"/>
    <col min="14614" max="14617" width="12.375" style="122" customWidth="1"/>
    <col min="14618" max="14620" width="7" style="122" customWidth="1"/>
    <col min="14621" max="14848" width="9" style="122"/>
    <col min="14849" max="14849" width="2.75" style="122" customWidth="1"/>
    <col min="14850" max="14850" width="18.875" style="122" customWidth="1"/>
    <col min="14851" max="14851" width="26.625" style="122" customWidth="1"/>
    <col min="14852" max="14852" width="14.375" style="122" customWidth="1"/>
    <col min="14853" max="14853" width="3.25" style="122" customWidth="1"/>
    <col min="14854" max="14857" width="12.375" style="122" customWidth="1"/>
    <col min="14858" max="14860" width="7" style="122" customWidth="1"/>
    <col min="14861" max="14861" width="3.25" style="122" customWidth="1"/>
    <col min="14862" max="14865" width="12.375" style="122" customWidth="1"/>
    <col min="14866" max="14868" width="7" style="122" customWidth="1"/>
    <col min="14869" max="14869" width="3" style="122" customWidth="1"/>
    <col min="14870" max="14873" width="12.375" style="122" customWidth="1"/>
    <col min="14874" max="14876" width="7" style="122" customWidth="1"/>
    <col min="14877" max="15104" width="9" style="122"/>
    <col min="15105" max="15105" width="2.75" style="122" customWidth="1"/>
    <col min="15106" max="15106" width="18.875" style="122" customWidth="1"/>
    <col min="15107" max="15107" width="26.625" style="122" customWidth="1"/>
    <col min="15108" max="15108" width="14.375" style="122" customWidth="1"/>
    <col min="15109" max="15109" width="3.25" style="122" customWidth="1"/>
    <col min="15110" max="15113" width="12.375" style="122" customWidth="1"/>
    <col min="15114" max="15116" width="7" style="122" customWidth="1"/>
    <col min="15117" max="15117" width="3.25" style="122" customWidth="1"/>
    <col min="15118" max="15121" width="12.375" style="122" customWidth="1"/>
    <col min="15122" max="15124" width="7" style="122" customWidth="1"/>
    <col min="15125" max="15125" width="3" style="122" customWidth="1"/>
    <col min="15126" max="15129" width="12.375" style="122" customWidth="1"/>
    <col min="15130" max="15132" width="7" style="122" customWidth="1"/>
    <col min="15133" max="15360" width="9" style="122"/>
    <col min="15361" max="15361" width="2.75" style="122" customWidth="1"/>
    <col min="15362" max="15362" width="18.875" style="122" customWidth="1"/>
    <col min="15363" max="15363" width="26.625" style="122" customWidth="1"/>
    <col min="15364" max="15364" width="14.375" style="122" customWidth="1"/>
    <col min="15365" max="15365" width="3.25" style="122" customWidth="1"/>
    <col min="15366" max="15369" width="12.375" style="122" customWidth="1"/>
    <col min="15370" max="15372" width="7" style="122" customWidth="1"/>
    <col min="15373" max="15373" width="3.25" style="122" customWidth="1"/>
    <col min="15374" max="15377" width="12.375" style="122" customWidth="1"/>
    <col min="15378" max="15380" width="7" style="122" customWidth="1"/>
    <col min="15381" max="15381" width="3" style="122" customWidth="1"/>
    <col min="15382" max="15385" width="12.375" style="122" customWidth="1"/>
    <col min="15386" max="15388" width="7" style="122" customWidth="1"/>
    <col min="15389" max="15616" width="9" style="122"/>
    <col min="15617" max="15617" width="2.75" style="122" customWidth="1"/>
    <col min="15618" max="15618" width="18.875" style="122" customWidth="1"/>
    <col min="15619" max="15619" width="26.625" style="122" customWidth="1"/>
    <col min="15620" max="15620" width="14.375" style="122" customWidth="1"/>
    <col min="15621" max="15621" width="3.25" style="122" customWidth="1"/>
    <col min="15622" max="15625" width="12.375" style="122" customWidth="1"/>
    <col min="15626" max="15628" width="7" style="122" customWidth="1"/>
    <col min="15629" max="15629" width="3.25" style="122" customWidth="1"/>
    <col min="15630" max="15633" width="12.375" style="122" customWidth="1"/>
    <col min="15634" max="15636" width="7" style="122" customWidth="1"/>
    <col min="15637" max="15637" width="3" style="122" customWidth="1"/>
    <col min="15638" max="15641" width="12.375" style="122" customWidth="1"/>
    <col min="15642" max="15644" width="7" style="122" customWidth="1"/>
    <col min="15645" max="15872" width="9" style="122"/>
    <col min="15873" max="15873" width="2.75" style="122" customWidth="1"/>
    <col min="15874" max="15874" width="18.875" style="122" customWidth="1"/>
    <col min="15875" max="15875" width="26.625" style="122" customWidth="1"/>
    <col min="15876" max="15876" width="14.375" style="122" customWidth="1"/>
    <col min="15877" max="15877" width="3.25" style="122" customWidth="1"/>
    <col min="15878" max="15881" width="12.375" style="122" customWidth="1"/>
    <col min="15882" max="15884" width="7" style="122" customWidth="1"/>
    <col min="15885" max="15885" width="3.25" style="122" customWidth="1"/>
    <col min="15886" max="15889" width="12.375" style="122" customWidth="1"/>
    <col min="15890" max="15892" width="7" style="122" customWidth="1"/>
    <col min="15893" max="15893" width="3" style="122" customWidth="1"/>
    <col min="15894" max="15897" width="12.375" style="122" customWidth="1"/>
    <col min="15898" max="15900" width="7" style="122" customWidth="1"/>
    <col min="15901" max="16128" width="9" style="122"/>
    <col min="16129" max="16129" width="2.75" style="122" customWidth="1"/>
    <col min="16130" max="16130" width="18.875" style="122" customWidth="1"/>
    <col min="16131" max="16131" width="26.625" style="122" customWidth="1"/>
    <col min="16132" max="16132" width="14.375" style="122" customWidth="1"/>
    <col min="16133" max="16133" width="3.25" style="122" customWidth="1"/>
    <col min="16134" max="16137" width="12.375" style="122" customWidth="1"/>
    <col min="16138" max="16140" width="7" style="122" customWidth="1"/>
    <col min="16141" max="16141" width="3.25" style="122" customWidth="1"/>
    <col min="16142" max="16145" width="12.375" style="122" customWidth="1"/>
    <col min="16146" max="16148" width="7" style="122" customWidth="1"/>
    <col min="16149" max="16149" width="3" style="122" customWidth="1"/>
    <col min="16150" max="16153" width="12.375" style="122" customWidth="1"/>
    <col min="16154" max="16156" width="7" style="122" customWidth="1"/>
    <col min="16157" max="16384" width="9" style="122"/>
  </cols>
  <sheetData>
    <row r="1" spans="1:39" s="10" customFormat="1" ht="57.75" customHeight="1" x14ac:dyDescent="0.25">
      <c r="A1" s="117" t="s">
        <v>0</v>
      </c>
      <c r="B1" s="36"/>
      <c r="C1" s="35"/>
      <c r="D1" s="408" t="s">
        <v>32</v>
      </c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34"/>
      <c r="W1" s="34"/>
      <c r="X1" s="34"/>
      <c r="Y1" s="34"/>
      <c r="Z1" s="35"/>
      <c r="AA1" s="35"/>
      <c r="AB1" s="118" t="s">
        <v>0</v>
      </c>
      <c r="AC1" s="28"/>
    </row>
    <row r="2" spans="1:39" s="10" customFormat="1" ht="24.75" customHeight="1" thickBot="1" x14ac:dyDescent="0.3"/>
    <row r="3" spans="1:39" ht="47.25" customHeight="1" thickBot="1" x14ac:dyDescent="0.3">
      <c r="A3" s="409" t="s">
        <v>31</v>
      </c>
      <c r="B3" s="410"/>
      <c r="C3" s="411" t="s">
        <v>47</v>
      </c>
      <c r="D3" s="412"/>
      <c r="E3" s="121"/>
      <c r="H3" s="115"/>
      <c r="L3" s="114" t="s">
        <v>44</v>
      </c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 ht="24.75" customHeight="1" thickBot="1" x14ac:dyDescent="0.3">
      <c r="E4" s="42"/>
      <c r="H4" s="119" t="s">
        <v>28</v>
      </c>
      <c r="I4" s="112"/>
      <c r="J4" s="112"/>
      <c r="K4" s="112"/>
      <c r="L4" s="113" t="s">
        <v>16</v>
      </c>
      <c r="M4" s="112"/>
      <c r="N4" s="112"/>
      <c r="O4" s="112"/>
      <c r="P4" s="119" t="s">
        <v>29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ht="47.25" customHeight="1" thickBot="1" x14ac:dyDescent="0.3">
      <c r="A5" s="409" t="s">
        <v>30</v>
      </c>
      <c r="B5" s="410"/>
      <c r="C5" s="411" t="s">
        <v>91</v>
      </c>
      <c r="D5" s="412"/>
      <c r="E5" s="2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39" ht="24.75" customHeight="1" x14ac:dyDescent="0.25">
      <c r="A6" s="2"/>
      <c r="B6" s="2"/>
      <c r="E6" s="2"/>
      <c r="F6" s="422" t="s">
        <v>6</v>
      </c>
      <c r="G6" s="422"/>
      <c r="H6" s="422"/>
      <c r="I6" s="422"/>
      <c r="J6" s="422"/>
      <c r="K6" s="422"/>
      <c r="L6" s="422"/>
      <c r="M6" s="7"/>
      <c r="N6" s="422" t="s">
        <v>15</v>
      </c>
      <c r="O6" s="422"/>
      <c r="P6" s="422"/>
      <c r="Q6" s="422"/>
      <c r="R6" s="422"/>
      <c r="S6" s="422"/>
      <c r="T6" s="422"/>
      <c r="U6" s="7"/>
      <c r="V6" s="413" t="s">
        <v>7</v>
      </c>
      <c r="W6" s="413"/>
      <c r="X6" s="413"/>
      <c r="Y6" s="413"/>
      <c r="Z6" s="413"/>
      <c r="AA6" s="413"/>
      <c r="AB6" s="413"/>
      <c r="AC6" s="42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ht="24.75" customHeight="1" x14ac:dyDescent="0.25">
      <c r="A7" s="37" t="s">
        <v>23</v>
      </c>
      <c r="B7" s="13"/>
      <c r="C7" s="51"/>
      <c r="D7" s="39" t="str">
        <f ca="1">IF(MONTH(TODAY())&lt;6,"( in Nov-Dec   -   March. Forecast )","( in May-Jun   -   Nov. Forecast )")</f>
        <v>( in May-Jun   -   Nov. Forecast )</v>
      </c>
      <c r="E7" s="16"/>
      <c r="F7" s="414">
        <v>2015</v>
      </c>
      <c r="G7" s="416">
        <f>+F7+1</f>
        <v>2016</v>
      </c>
      <c r="H7" s="416">
        <f>+G7+1</f>
        <v>2017</v>
      </c>
      <c r="I7" s="418">
        <f>+H7+1</f>
        <v>2018</v>
      </c>
      <c r="J7" s="29"/>
      <c r="K7" s="54" t="s">
        <v>11</v>
      </c>
      <c r="L7" s="30"/>
      <c r="N7" s="420"/>
      <c r="O7" s="420"/>
      <c r="P7" s="420"/>
      <c r="Q7" s="420"/>
      <c r="R7" s="20"/>
      <c r="S7" s="24"/>
      <c r="T7" s="20"/>
      <c r="U7" s="46"/>
      <c r="V7" s="421"/>
      <c r="W7" s="421"/>
      <c r="X7" s="421"/>
      <c r="Y7" s="421"/>
      <c r="Z7" s="20"/>
      <c r="AA7" s="24"/>
      <c r="AB7" s="20"/>
      <c r="AC7" s="25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ht="24.75" customHeight="1" x14ac:dyDescent="0.25">
      <c r="A8" s="12"/>
      <c r="B8" s="13"/>
      <c r="C8" s="51"/>
      <c r="D8" s="110" t="s">
        <v>24</v>
      </c>
      <c r="E8" s="16"/>
      <c r="F8" s="415"/>
      <c r="G8" s="417"/>
      <c r="H8" s="417"/>
      <c r="I8" s="419"/>
      <c r="J8" s="31" t="str">
        <f>G7&amp;"/"&amp;RIGHT(F7,2)</f>
        <v>2016/15</v>
      </c>
      <c r="K8" s="32" t="str">
        <f>H7&amp;"/"&amp;RIGHT(G7,2)</f>
        <v>2017/16</v>
      </c>
      <c r="L8" s="33" t="str">
        <f>I7&amp;"/"&amp;RIGHT(H7,2)</f>
        <v>2018/17</v>
      </c>
      <c r="N8" s="421"/>
      <c r="O8" s="421"/>
      <c r="P8" s="421"/>
      <c r="Q8" s="421"/>
      <c r="R8" s="26"/>
      <c r="S8" s="26"/>
      <c r="T8" s="26"/>
      <c r="U8" s="46"/>
      <c r="V8" s="421"/>
      <c r="W8" s="421"/>
      <c r="X8" s="421"/>
      <c r="Y8" s="421"/>
      <c r="Z8" s="26"/>
      <c r="AA8" s="26"/>
      <c r="AB8" s="26"/>
      <c r="AC8" s="46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ht="24.75" customHeight="1" x14ac:dyDescent="0.25">
      <c r="A9" s="2"/>
      <c r="B9" s="27" t="s">
        <v>18</v>
      </c>
      <c r="C9" s="2"/>
      <c r="D9" s="2"/>
      <c r="E9" s="2"/>
      <c r="F9" s="146">
        <v>441</v>
      </c>
      <c r="G9" s="146">
        <v>455</v>
      </c>
      <c r="H9" s="147">
        <v>462</v>
      </c>
      <c r="I9" s="73">
        <v>458</v>
      </c>
      <c r="J9" s="56">
        <f t="shared" ref="J9:L12" si="0">IF(OR(G9=0,F9=0),"",G9/F9-1)</f>
        <v>3.1746031746031855E-2</v>
      </c>
      <c r="K9" s="57">
        <f t="shared" si="0"/>
        <v>1.538461538461533E-2</v>
      </c>
      <c r="L9" s="58">
        <f t="shared" si="0"/>
        <v>-8.6580086580086979E-3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ht="24.75" customHeight="1" x14ac:dyDescent="0.25">
      <c r="A10" s="2"/>
      <c r="C10" s="40" t="s">
        <v>33</v>
      </c>
      <c r="D10" s="42"/>
      <c r="E10" s="2"/>
      <c r="F10" s="148">
        <v>159</v>
      </c>
      <c r="G10" s="148">
        <v>152</v>
      </c>
      <c r="H10" s="149">
        <v>150</v>
      </c>
      <c r="I10" s="76">
        <v>151</v>
      </c>
      <c r="J10" s="59">
        <f t="shared" si="0"/>
        <v>-4.4025157232704393E-2</v>
      </c>
      <c r="K10" s="60">
        <f t="shared" si="0"/>
        <v>-1.3157894736842146E-2</v>
      </c>
      <c r="L10" s="61">
        <f t="shared" si="0"/>
        <v>6.6666666666665986E-3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ht="24.75" customHeight="1" x14ac:dyDescent="0.25">
      <c r="A11" s="2"/>
      <c r="C11" s="50" t="s">
        <v>34</v>
      </c>
      <c r="D11" s="50"/>
      <c r="E11" s="2"/>
      <c r="F11" s="148">
        <v>16</v>
      </c>
      <c r="G11" s="148">
        <v>20</v>
      </c>
      <c r="H11" s="149">
        <v>18</v>
      </c>
      <c r="I11" s="76">
        <v>19</v>
      </c>
      <c r="J11" s="59">
        <f t="shared" si="0"/>
        <v>0.25</v>
      </c>
      <c r="K11" s="60">
        <f t="shared" si="0"/>
        <v>-9.9999999999999978E-2</v>
      </c>
      <c r="L11" s="61">
        <f t="shared" si="0"/>
        <v>5.555555555555558E-2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ht="24.75" customHeight="1" x14ac:dyDescent="0.25">
      <c r="A12" s="2"/>
      <c r="C12" s="41" t="s">
        <v>38</v>
      </c>
      <c r="D12" s="42"/>
      <c r="E12" s="2"/>
      <c r="F12" s="126">
        <v>175</v>
      </c>
      <c r="G12" s="126">
        <v>167</v>
      </c>
      <c r="H12" s="127">
        <f>+H10+H11</f>
        <v>168</v>
      </c>
      <c r="I12" s="100">
        <v>170</v>
      </c>
      <c r="J12" s="59">
        <f t="shared" si="0"/>
        <v>-4.5714285714285707E-2</v>
      </c>
      <c r="K12" s="60">
        <f t="shared" si="0"/>
        <v>5.9880239520957446E-3</v>
      </c>
      <c r="L12" s="61">
        <f t="shared" si="0"/>
        <v>1.1904761904761862E-2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ht="24.75" customHeight="1" x14ac:dyDescent="0.25">
      <c r="A13" s="38" t="s">
        <v>8</v>
      </c>
      <c r="B13" s="13"/>
      <c r="C13" s="13"/>
      <c r="D13" s="13"/>
      <c r="E13" s="13"/>
      <c r="F13" s="414">
        <f>$F$7</f>
        <v>2015</v>
      </c>
      <c r="G13" s="416">
        <f>+F13+1</f>
        <v>2016</v>
      </c>
      <c r="H13" s="416">
        <f>+G13+1</f>
        <v>2017</v>
      </c>
      <c r="I13" s="418">
        <f>+H13+1</f>
        <v>2018</v>
      </c>
      <c r="J13" s="29"/>
      <c r="K13" s="54" t="s">
        <v>11</v>
      </c>
      <c r="L13" s="30"/>
      <c r="M13" s="14"/>
      <c r="N13" s="414">
        <f>$F$7</f>
        <v>2015</v>
      </c>
      <c r="O13" s="416">
        <f>+N13+1</f>
        <v>2016</v>
      </c>
      <c r="P13" s="416">
        <f>+O13+1</f>
        <v>2017</v>
      </c>
      <c r="Q13" s="418">
        <f>+P13+1</f>
        <v>2018</v>
      </c>
      <c r="R13" s="29"/>
      <c r="S13" s="54" t="s">
        <v>11</v>
      </c>
      <c r="T13" s="30"/>
      <c r="U13" s="14"/>
      <c r="V13" s="414">
        <f>$F$7</f>
        <v>2015</v>
      </c>
      <c r="W13" s="416">
        <f>+V13+1</f>
        <v>2016</v>
      </c>
      <c r="X13" s="416">
        <f>+W13+1</f>
        <v>2017</v>
      </c>
      <c r="Y13" s="418">
        <f>+X13+1</f>
        <v>2018</v>
      </c>
      <c r="Z13" s="29"/>
      <c r="AA13" s="54" t="s">
        <v>11</v>
      </c>
      <c r="AB13" s="3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ht="24.75" customHeight="1" x14ac:dyDescent="0.25">
      <c r="A14" s="15"/>
      <c r="B14" s="13"/>
      <c r="C14" s="13"/>
      <c r="D14" s="111" t="s">
        <v>25</v>
      </c>
      <c r="E14" s="13"/>
      <c r="F14" s="415"/>
      <c r="G14" s="417"/>
      <c r="H14" s="417"/>
      <c r="I14" s="419"/>
      <c r="J14" s="31" t="str">
        <f>G13&amp;"/"&amp;RIGHT(F13,2)</f>
        <v>2016/15</v>
      </c>
      <c r="K14" s="32" t="str">
        <f>H13&amp;"/"&amp;RIGHT(G13,2)</f>
        <v>2017/16</v>
      </c>
      <c r="L14" s="33" t="str">
        <f>I13&amp;"/"&amp;RIGHT(H13,2)</f>
        <v>2018/17</v>
      </c>
      <c r="M14" s="14"/>
      <c r="N14" s="415"/>
      <c r="O14" s="417"/>
      <c r="P14" s="417"/>
      <c r="Q14" s="419"/>
      <c r="R14" s="31" t="str">
        <f>O13&amp;"/"&amp;RIGHT(N13,2)</f>
        <v>2016/15</v>
      </c>
      <c r="S14" s="32" t="str">
        <f>P13&amp;"/"&amp;RIGHT(O13,2)</f>
        <v>2017/16</v>
      </c>
      <c r="T14" s="33" t="str">
        <f>Q13&amp;"/"&amp;RIGHT(P13,2)</f>
        <v>2018/17</v>
      </c>
      <c r="U14" s="14"/>
      <c r="V14" s="415"/>
      <c r="W14" s="417"/>
      <c r="X14" s="417"/>
      <c r="Y14" s="419"/>
      <c r="Z14" s="31" t="str">
        <f>W13&amp;"/"&amp;RIGHT(V13,2)</f>
        <v>2016/15</v>
      </c>
      <c r="AA14" s="32" t="str">
        <f>X13&amp;"/"&amp;RIGHT(W13,2)</f>
        <v>2017/16</v>
      </c>
      <c r="AB14" s="33" t="str">
        <f>Y13&amp;"/"&amp;RIGHT(X13,2)</f>
        <v>2018/17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24.75" customHeight="1" x14ac:dyDescent="0.25">
      <c r="A15" s="3"/>
      <c r="B15" s="3"/>
      <c r="C15" s="42" t="s">
        <v>1</v>
      </c>
      <c r="D15" s="42"/>
      <c r="E15" s="2"/>
      <c r="F15" s="77"/>
      <c r="G15" s="78"/>
      <c r="H15" s="78"/>
      <c r="I15" s="79"/>
      <c r="J15" s="62" t="str">
        <f t="shared" ref="J15:L21" si="1">IF(OR(G15=0,F15=0),"",G15/F15-1)</f>
        <v/>
      </c>
      <c r="K15" s="63" t="str">
        <f t="shared" si="1"/>
        <v/>
      </c>
      <c r="L15" s="64" t="str">
        <f t="shared" si="1"/>
        <v/>
      </c>
      <c r="N15" s="77"/>
      <c r="O15" s="78"/>
      <c r="P15" s="78"/>
      <c r="Q15" s="79"/>
      <c r="R15" s="62" t="str">
        <f t="shared" ref="R15:T21" si="2">IF(OR(O15=0,N15=0),"",O15/N15-1)</f>
        <v/>
      </c>
      <c r="S15" s="63" t="str">
        <f t="shared" si="2"/>
        <v/>
      </c>
      <c r="T15" s="64" t="str">
        <f t="shared" si="2"/>
        <v/>
      </c>
      <c r="V15" s="86">
        <f t="shared" ref="V15:Y21" si="3">+F15+N15</f>
        <v>0</v>
      </c>
      <c r="W15" s="87">
        <f t="shared" si="3"/>
        <v>0</v>
      </c>
      <c r="X15" s="87">
        <f t="shared" si="3"/>
        <v>0</v>
      </c>
      <c r="Y15" s="88">
        <f t="shared" si="3"/>
        <v>0</v>
      </c>
      <c r="Z15" s="59" t="str">
        <f t="shared" ref="Z15:AB16" si="4">IF(OR(W15=0,V15=0),"",W15/V15-1)</f>
        <v/>
      </c>
      <c r="AA15" s="60" t="str">
        <f t="shared" si="4"/>
        <v/>
      </c>
      <c r="AB15" s="61" t="str">
        <f t="shared" si="4"/>
        <v/>
      </c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24.75" customHeight="1" x14ac:dyDescent="0.25">
      <c r="A16" s="3"/>
      <c r="B16" s="3"/>
      <c r="C16" s="43" t="s">
        <v>2</v>
      </c>
      <c r="D16" s="43"/>
      <c r="E16" s="2"/>
      <c r="F16" s="80"/>
      <c r="G16" s="81"/>
      <c r="H16" s="81"/>
      <c r="I16" s="82"/>
      <c r="J16" s="65" t="str">
        <f t="shared" si="1"/>
        <v/>
      </c>
      <c r="K16" s="66" t="str">
        <f t="shared" si="1"/>
        <v/>
      </c>
      <c r="L16" s="67" t="str">
        <f t="shared" si="1"/>
        <v/>
      </c>
      <c r="N16" s="80"/>
      <c r="O16" s="81"/>
      <c r="P16" s="81"/>
      <c r="Q16" s="82"/>
      <c r="R16" s="65" t="str">
        <f t="shared" si="2"/>
        <v/>
      </c>
      <c r="S16" s="66" t="str">
        <f t="shared" si="2"/>
        <v/>
      </c>
      <c r="T16" s="67" t="str">
        <f t="shared" si="2"/>
        <v/>
      </c>
      <c r="V16" s="89">
        <f t="shared" si="3"/>
        <v>0</v>
      </c>
      <c r="W16" s="90">
        <f t="shared" si="3"/>
        <v>0</v>
      </c>
      <c r="X16" s="90">
        <f t="shared" si="3"/>
        <v>0</v>
      </c>
      <c r="Y16" s="91">
        <f t="shared" si="3"/>
        <v>0</v>
      </c>
      <c r="Z16" s="68" t="str">
        <f t="shared" si="4"/>
        <v/>
      </c>
      <c r="AA16" s="69" t="str">
        <f t="shared" si="4"/>
        <v/>
      </c>
      <c r="AB16" s="70" t="str">
        <f t="shared" si="4"/>
        <v/>
      </c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4.75" customHeight="1" x14ac:dyDescent="0.25">
      <c r="A17" s="3"/>
      <c r="B17" s="3"/>
      <c r="C17" s="44" t="s">
        <v>3</v>
      </c>
      <c r="D17" s="42"/>
      <c r="E17" s="2"/>
      <c r="F17" s="150">
        <v>37137</v>
      </c>
      <c r="G17" s="150">
        <v>43926</v>
      </c>
      <c r="H17" s="151">
        <v>48700</v>
      </c>
      <c r="I17" s="152">
        <v>43960</v>
      </c>
      <c r="J17" s="153">
        <f>IF(OR(G17=0,F17=0),"",G17/F17-1)</f>
        <v>0.18280959689797238</v>
      </c>
      <c r="K17" s="154">
        <f>IF(OR(H17=0,G17=0),"",H17/G17-1)</f>
        <v>0.10868278468333115</v>
      </c>
      <c r="L17" s="155">
        <f>IF(OR(I17=0,H17=0),"",I17/H17-1)</f>
        <v>-9.7330595482546189E-2</v>
      </c>
      <c r="M17" s="7">
        <f>+M15+M16</f>
        <v>0</v>
      </c>
      <c r="N17" s="98">
        <f>+N15+N16</f>
        <v>0</v>
      </c>
      <c r="O17" s="99">
        <f>+O15+O16</f>
        <v>0</v>
      </c>
      <c r="P17" s="99">
        <f>+P15+P16</f>
        <v>0</v>
      </c>
      <c r="Q17" s="100">
        <f>+Q15+Q16</f>
        <v>0</v>
      </c>
      <c r="R17" s="68" t="str">
        <f t="shared" si="2"/>
        <v/>
      </c>
      <c r="S17" s="69" t="str">
        <f t="shared" si="2"/>
        <v/>
      </c>
      <c r="T17" s="70" t="str">
        <f t="shared" si="2"/>
        <v/>
      </c>
      <c r="U17" s="7"/>
      <c r="V17" s="156">
        <f>SUM(F17+N17)</f>
        <v>37137</v>
      </c>
      <c r="W17" s="156">
        <f>SUM(G17+O17)</f>
        <v>43926</v>
      </c>
      <c r="X17" s="157">
        <f>SUM(H17+P17)</f>
        <v>48700</v>
      </c>
      <c r="Y17" s="127">
        <f>SUM(I17+Q17)</f>
        <v>43960</v>
      </c>
      <c r="Z17" s="68">
        <f>IF(OR(W17=0,V17=0),"",W17/V17-1)</f>
        <v>0.18280959689797238</v>
      </c>
      <c r="AA17" s="69">
        <f>IF(OR(X17=0,W17=0),"",X17/W17-1)</f>
        <v>0.10868278468333115</v>
      </c>
      <c r="AB17" s="70">
        <f>IF(OR(Y17=0,X17=0),"",Y17/X17-1)</f>
        <v>-9.7330595482546189E-2</v>
      </c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24.75" customHeight="1" x14ac:dyDescent="0.25">
      <c r="A18" s="2"/>
      <c r="B18" s="3"/>
      <c r="C18" s="40" t="s">
        <v>9</v>
      </c>
      <c r="D18" s="120" t="s">
        <v>39</v>
      </c>
      <c r="E18" s="2"/>
      <c r="F18" s="148">
        <v>13286</v>
      </c>
      <c r="G18" s="148">
        <v>12888</v>
      </c>
      <c r="H18" s="149">
        <v>14821</v>
      </c>
      <c r="I18" s="76">
        <v>14079</v>
      </c>
      <c r="J18" s="59">
        <f t="shared" si="1"/>
        <v>-2.9956345024838127E-2</v>
      </c>
      <c r="K18" s="60">
        <f t="shared" si="1"/>
        <v>0.1499844816883924</v>
      </c>
      <c r="L18" s="61">
        <f t="shared" si="1"/>
        <v>-5.0064098238985277E-2</v>
      </c>
      <c r="N18" s="148"/>
      <c r="O18" s="148"/>
      <c r="P18" s="149"/>
      <c r="Q18" s="76"/>
      <c r="R18" s="59" t="str">
        <f t="shared" si="2"/>
        <v/>
      </c>
      <c r="S18" s="60" t="str">
        <f t="shared" si="2"/>
        <v/>
      </c>
      <c r="T18" s="61" t="str">
        <f t="shared" si="2"/>
        <v/>
      </c>
      <c r="V18" s="158">
        <f t="shared" ref="V18:X21" si="5">+F18+N18</f>
        <v>13286</v>
      </c>
      <c r="W18" s="158">
        <f t="shared" si="5"/>
        <v>12888</v>
      </c>
      <c r="X18" s="159">
        <f t="shared" si="5"/>
        <v>14821</v>
      </c>
      <c r="Y18" s="94">
        <f t="shared" si="3"/>
        <v>14079</v>
      </c>
      <c r="Z18" s="59">
        <f t="shared" ref="Z18:AB21" si="6">IF(OR(W18=0,V18=0),"",W18/V18-1)</f>
        <v>-2.9956345024838127E-2</v>
      </c>
      <c r="AA18" s="60">
        <f t="shared" si="6"/>
        <v>0.1499844816883924</v>
      </c>
      <c r="AB18" s="61">
        <f t="shared" si="6"/>
        <v>-5.0064098238985277E-2</v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24.75" customHeight="1" x14ac:dyDescent="0.25">
      <c r="A19" s="2"/>
      <c r="B19" s="3"/>
      <c r="C19" s="55"/>
      <c r="D19" s="120" t="s">
        <v>40</v>
      </c>
      <c r="E19" s="2"/>
      <c r="F19" s="160">
        <v>0</v>
      </c>
      <c r="G19" s="160">
        <v>0</v>
      </c>
      <c r="H19" s="161">
        <v>0</v>
      </c>
      <c r="I19" s="85"/>
      <c r="J19" s="68" t="str">
        <f t="shared" si="1"/>
        <v/>
      </c>
      <c r="K19" s="69" t="str">
        <f t="shared" si="1"/>
        <v/>
      </c>
      <c r="L19" s="70" t="str">
        <f t="shared" si="1"/>
        <v/>
      </c>
      <c r="N19" s="83"/>
      <c r="O19" s="84"/>
      <c r="P19" s="84"/>
      <c r="Q19" s="85"/>
      <c r="R19" s="68" t="str">
        <f t="shared" si="2"/>
        <v/>
      </c>
      <c r="S19" s="69" t="str">
        <f t="shared" si="2"/>
        <v/>
      </c>
      <c r="T19" s="70" t="str">
        <f t="shared" si="2"/>
        <v/>
      </c>
      <c r="V19" s="162">
        <f t="shared" si="5"/>
        <v>0</v>
      </c>
      <c r="W19" s="162">
        <f t="shared" si="5"/>
        <v>0</v>
      </c>
      <c r="X19" s="163">
        <f t="shared" si="5"/>
        <v>0</v>
      </c>
      <c r="Y19" s="97">
        <f t="shared" si="3"/>
        <v>0</v>
      </c>
      <c r="Z19" s="68" t="str">
        <f t="shared" si="6"/>
        <v/>
      </c>
      <c r="AA19" s="69" t="str">
        <f t="shared" si="6"/>
        <v/>
      </c>
      <c r="AB19" s="70" t="str">
        <f t="shared" si="6"/>
        <v/>
      </c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ht="24.75" customHeight="1" x14ac:dyDescent="0.25">
      <c r="A20" s="2"/>
      <c r="B20" s="3"/>
      <c r="C20" s="40" t="s">
        <v>10</v>
      </c>
      <c r="D20" s="120" t="s">
        <v>39</v>
      </c>
      <c r="E20" s="2"/>
      <c r="F20" s="148">
        <v>1303</v>
      </c>
      <c r="G20" s="148">
        <v>1775</v>
      </c>
      <c r="H20" s="149">
        <v>1703</v>
      </c>
      <c r="I20" s="76">
        <v>1902</v>
      </c>
      <c r="J20" s="59">
        <f t="shared" si="1"/>
        <v>0.36224098234842672</v>
      </c>
      <c r="K20" s="60">
        <f t="shared" si="1"/>
        <v>-4.0563380281690153E-2</v>
      </c>
      <c r="L20" s="61">
        <f t="shared" si="1"/>
        <v>0.11685261303581918</v>
      </c>
      <c r="N20" s="74"/>
      <c r="O20" s="75"/>
      <c r="P20" s="75"/>
      <c r="Q20" s="76"/>
      <c r="R20" s="59" t="str">
        <f t="shared" si="2"/>
        <v/>
      </c>
      <c r="S20" s="60" t="str">
        <f t="shared" si="2"/>
        <v/>
      </c>
      <c r="T20" s="61" t="str">
        <f t="shared" si="2"/>
        <v/>
      </c>
      <c r="V20" s="158">
        <f t="shared" si="5"/>
        <v>1303</v>
      </c>
      <c r="W20" s="158">
        <f t="shared" si="5"/>
        <v>1775</v>
      </c>
      <c r="X20" s="159">
        <f t="shared" si="5"/>
        <v>1703</v>
      </c>
      <c r="Y20" s="94">
        <f t="shared" si="3"/>
        <v>1902</v>
      </c>
      <c r="Z20" s="59">
        <f t="shared" si="6"/>
        <v>0.36224098234842672</v>
      </c>
      <c r="AA20" s="60">
        <f t="shared" si="6"/>
        <v>-4.0563380281690153E-2</v>
      </c>
      <c r="AB20" s="61">
        <f t="shared" si="6"/>
        <v>0.11685261303581918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ht="24.75" customHeight="1" x14ac:dyDescent="0.25">
      <c r="A21" s="2"/>
      <c r="B21" s="3"/>
      <c r="C21" s="40"/>
      <c r="D21" s="120" t="s">
        <v>40</v>
      </c>
      <c r="E21" s="2"/>
      <c r="F21" s="160">
        <v>7090</v>
      </c>
      <c r="G21" s="160">
        <v>10337</v>
      </c>
      <c r="H21" s="161">
        <v>11070</v>
      </c>
      <c r="I21" s="85">
        <v>11203</v>
      </c>
      <c r="J21" s="68">
        <f t="shared" si="1"/>
        <v>0.45796897038081807</v>
      </c>
      <c r="K21" s="69">
        <f t="shared" si="1"/>
        <v>7.0910322143755478E-2</v>
      </c>
      <c r="L21" s="70">
        <f t="shared" si="1"/>
        <v>1.2014453477868114E-2</v>
      </c>
      <c r="N21" s="83"/>
      <c r="O21" s="84"/>
      <c r="P21" s="84"/>
      <c r="Q21" s="85"/>
      <c r="R21" s="68" t="str">
        <f t="shared" si="2"/>
        <v/>
      </c>
      <c r="S21" s="69" t="str">
        <f t="shared" si="2"/>
        <v/>
      </c>
      <c r="T21" s="70" t="str">
        <f t="shared" si="2"/>
        <v/>
      </c>
      <c r="V21" s="162">
        <f t="shared" si="5"/>
        <v>7090</v>
      </c>
      <c r="W21" s="162">
        <f t="shared" si="5"/>
        <v>10337</v>
      </c>
      <c r="X21" s="163">
        <f t="shared" si="5"/>
        <v>11070</v>
      </c>
      <c r="Y21" s="97">
        <f t="shared" si="3"/>
        <v>11203</v>
      </c>
      <c r="Z21" s="68">
        <f t="shared" si="6"/>
        <v>0.45796897038081807</v>
      </c>
      <c r="AA21" s="69">
        <f t="shared" si="6"/>
        <v>7.0910322143755478E-2</v>
      </c>
      <c r="AB21" s="70">
        <f t="shared" si="6"/>
        <v>1.2014453477868114E-2</v>
      </c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ht="24.75" customHeight="1" x14ac:dyDescent="0.25">
      <c r="A22" s="37" t="s">
        <v>14</v>
      </c>
      <c r="B22" s="13"/>
      <c r="C22" s="51"/>
      <c r="D22" s="51"/>
      <c r="E22" s="13"/>
      <c r="F22" s="414">
        <f>$F$7</f>
        <v>2015</v>
      </c>
      <c r="G22" s="416">
        <f>+F22+1</f>
        <v>2016</v>
      </c>
      <c r="H22" s="416">
        <f>+G22+1</f>
        <v>2017</v>
      </c>
      <c r="I22" s="418">
        <f>+H22+1</f>
        <v>2018</v>
      </c>
      <c r="J22" s="29"/>
      <c r="K22" s="54" t="s">
        <v>11</v>
      </c>
      <c r="L22" s="30"/>
      <c r="M22" s="14"/>
      <c r="N22" s="414">
        <f>$F$7</f>
        <v>2015</v>
      </c>
      <c r="O22" s="416">
        <f>+N22+1</f>
        <v>2016</v>
      </c>
      <c r="P22" s="416">
        <f>+O22+1</f>
        <v>2017</v>
      </c>
      <c r="Q22" s="418">
        <f>+P22+1</f>
        <v>2018</v>
      </c>
      <c r="R22" s="29"/>
      <c r="S22" s="54" t="s">
        <v>11</v>
      </c>
      <c r="T22" s="30"/>
      <c r="U22" s="14"/>
      <c r="V22" s="414">
        <f>$F$7</f>
        <v>2015</v>
      </c>
      <c r="W22" s="416">
        <f>+V22+1</f>
        <v>2016</v>
      </c>
      <c r="X22" s="416">
        <f>+W22+1</f>
        <v>2017</v>
      </c>
      <c r="Y22" s="418">
        <f>+X22+1</f>
        <v>2018</v>
      </c>
      <c r="Z22" s="29"/>
      <c r="AA22" s="54" t="s">
        <v>11</v>
      </c>
      <c r="AB22" s="3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ht="24.75" customHeight="1" x14ac:dyDescent="0.25">
      <c r="A23" s="12"/>
      <c r="B23" s="13"/>
      <c r="C23" s="51"/>
      <c r="D23" s="111" t="s">
        <v>26</v>
      </c>
      <c r="E23" s="13"/>
      <c r="F23" s="415"/>
      <c r="G23" s="417"/>
      <c r="H23" s="417"/>
      <c r="I23" s="419"/>
      <c r="J23" s="31" t="str">
        <f>G22&amp;"/"&amp;RIGHT(F22,2)</f>
        <v>2016/15</v>
      </c>
      <c r="K23" s="32" t="str">
        <f>H22&amp;"/"&amp;RIGHT(G22,2)</f>
        <v>2017/16</v>
      </c>
      <c r="L23" s="33" t="str">
        <f>I22&amp;"/"&amp;RIGHT(H22,2)</f>
        <v>2018/17</v>
      </c>
      <c r="M23" s="14"/>
      <c r="N23" s="415"/>
      <c r="O23" s="417"/>
      <c r="P23" s="417"/>
      <c r="Q23" s="419"/>
      <c r="R23" s="31" t="str">
        <f>O22&amp;"/"&amp;RIGHT(N22,2)</f>
        <v>2016/15</v>
      </c>
      <c r="S23" s="32" t="str">
        <f>P22&amp;"/"&amp;RIGHT(O22,2)</f>
        <v>2017/16</v>
      </c>
      <c r="T23" s="33" t="str">
        <f>Q22&amp;"/"&amp;RIGHT(P22,2)</f>
        <v>2018/17</v>
      </c>
      <c r="U23" s="14"/>
      <c r="V23" s="415"/>
      <c r="W23" s="417"/>
      <c r="X23" s="417"/>
      <c r="Y23" s="419"/>
      <c r="Z23" s="31" t="str">
        <f>W22&amp;"/"&amp;RIGHT(V22,2)</f>
        <v>2016/15</v>
      </c>
      <c r="AA23" s="32" t="str">
        <f>X22&amp;"/"&amp;RIGHT(W22,2)</f>
        <v>2017/16</v>
      </c>
      <c r="AB23" s="33" t="str">
        <f>Y22&amp;"/"&amp;RIGHT(X22,2)</f>
        <v>2018/17</v>
      </c>
      <c r="AC23" s="42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24.75" customHeight="1" x14ac:dyDescent="0.25">
      <c r="A24" s="3"/>
      <c r="B24" s="3"/>
      <c r="C24" s="42" t="s">
        <v>1</v>
      </c>
      <c r="D24" s="42"/>
      <c r="E24" s="2"/>
      <c r="F24" s="164"/>
      <c r="G24" s="164"/>
      <c r="H24" s="165"/>
      <c r="I24" s="79"/>
      <c r="J24" s="59" t="str">
        <f t="shared" ref="J24:L30" si="7">IF(OR(G24=0,F24=0),"",G24/F24-1)</f>
        <v/>
      </c>
      <c r="K24" s="60" t="str">
        <f t="shared" si="7"/>
        <v/>
      </c>
      <c r="L24" s="61" t="str">
        <f t="shared" si="7"/>
        <v/>
      </c>
      <c r="N24" s="164"/>
      <c r="O24" s="164"/>
      <c r="P24" s="165"/>
      <c r="Q24" s="79"/>
      <c r="R24" s="59" t="str">
        <f t="shared" ref="R24:T30" si="8">IF(OR(O24=0,N24=0),"",O24/N24-1)</f>
        <v/>
      </c>
      <c r="S24" s="60" t="str">
        <f t="shared" si="8"/>
        <v/>
      </c>
      <c r="T24" s="61" t="str">
        <f t="shared" si="8"/>
        <v/>
      </c>
      <c r="V24" s="166">
        <f t="shared" ref="V24:Y30" si="9">+F24+N24</f>
        <v>0</v>
      </c>
      <c r="W24" s="166">
        <f t="shared" si="9"/>
        <v>0</v>
      </c>
      <c r="X24" s="167">
        <f t="shared" si="9"/>
        <v>0</v>
      </c>
      <c r="Y24" s="88">
        <f t="shared" si="9"/>
        <v>0</v>
      </c>
      <c r="Z24" s="59" t="str">
        <f t="shared" ref="Z24:AB25" si="10">IF(OR(W24=0,V24=0),"",W24/V24-1)</f>
        <v/>
      </c>
      <c r="AA24" s="60" t="str">
        <f t="shared" si="10"/>
        <v/>
      </c>
      <c r="AB24" s="61" t="str">
        <f t="shared" si="10"/>
        <v/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4.75" customHeight="1" x14ac:dyDescent="0.25">
      <c r="A25" s="3"/>
      <c r="B25" s="3"/>
      <c r="C25" s="43" t="s">
        <v>2</v>
      </c>
      <c r="D25" s="43"/>
      <c r="E25" s="2"/>
      <c r="F25" s="168"/>
      <c r="G25" s="168"/>
      <c r="H25" s="169"/>
      <c r="I25" s="82"/>
      <c r="J25" s="68" t="str">
        <f t="shared" si="7"/>
        <v/>
      </c>
      <c r="K25" s="69" t="str">
        <f t="shared" si="7"/>
        <v/>
      </c>
      <c r="L25" s="70" t="str">
        <f t="shared" si="7"/>
        <v/>
      </c>
      <c r="N25" s="168"/>
      <c r="O25" s="168"/>
      <c r="P25" s="169"/>
      <c r="Q25" s="82"/>
      <c r="R25" s="68" t="str">
        <f t="shared" si="8"/>
        <v/>
      </c>
      <c r="S25" s="69" t="str">
        <f t="shared" si="8"/>
        <v/>
      </c>
      <c r="T25" s="70" t="str">
        <f t="shared" si="8"/>
        <v/>
      </c>
      <c r="V25" s="170">
        <f t="shared" si="9"/>
        <v>0</v>
      </c>
      <c r="W25" s="170">
        <f t="shared" si="9"/>
        <v>0</v>
      </c>
      <c r="X25" s="171">
        <f t="shared" si="9"/>
        <v>0</v>
      </c>
      <c r="Z25" s="68" t="str">
        <f t="shared" si="10"/>
        <v/>
      </c>
      <c r="AA25" s="69" t="str">
        <f t="shared" si="10"/>
        <v/>
      </c>
      <c r="AB25" s="70" t="e">
        <f>IF(OR(#REF!=0,X25=0),"",#REF!/X25-1)</f>
        <v>#REF!</v>
      </c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24.75" customHeight="1" x14ac:dyDescent="0.25">
      <c r="A26" s="3"/>
      <c r="B26" s="3"/>
      <c r="C26" s="44" t="s">
        <v>3</v>
      </c>
      <c r="D26" s="42"/>
      <c r="E26" s="2"/>
      <c r="F26" s="156">
        <v>37341</v>
      </c>
      <c r="G26" s="156">
        <v>40132</v>
      </c>
      <c r="H26" s="157">
        <v>37323</v>
      </c>
      <c r="I26" s="172">
        <v>38443</v>
      </c>
      <c r="J26" s="68">
        <f t="shared" si="7"/>
        <v>7.474357944350718E-2</v>
      </c>
      <c r="K26" s="69">
        <f t="shared" si="7"/>
        <v>-6.9994019734874957E-2</v>
      </c>
      <c r="L26" s="70">
        <f t="shared" si="7"/>
        <v>3.0008305870374841E-2</v>
      </c>
      <c r="M26" s="7"/>
      <c r="N26" s="125">
        <v>4689</v>
      </c>
      <c r="O26" s="126">
        <v>4572</v>
      </c>
      <c r="P26" s="126">
        <v>5400</v>
      </c>
      <c r="Q26" s="100">
        <v>5600</v>
      </c>
      <c r="R26" s="68">
        <f t="shared" si="8"/>
        <v>-2.4952015355086399E-2</v>
      </c>
      <c r="S26" s="69">
        <f t="shared" si="8"/>
        <v>0.18110236220472431</v>
      </c>
      <c r="T26" s="70">
        <f t="shared" si="8"/>
        <v>3.7037037037036979E-2</v>
      </c>
      <c r="U26" s="7"/>
      <c r="V26" s="156">
        <f>SUM(F26+N26)</f>
        <v>42030</v>
      </c>
      <c r="W26" s="157">
        <f>SUM(G26+O26)</f>
        <v>44704</v>
      </c>
      <c r="X26" s="156">
        <f>SUM(H26+P26)</f>
        <v>42723</v>
      </c>
      <c r="Y26" s="100">
        <f>SUM(I26+Q26)</f>
        <v>44043</v>
      </c>
      <c r="Z26" s="68">
        <f>IF(OR(X26=0,V26=0),"",X26/V26-1)</f>
        <v>1.6488222698072708E-2</v>
      </c>
      <c r="AA26" s="69">
        <f>IF(OR(W26=0,X26=0),"",W26/X26-1)</f>
        <v>4.6368466633897487E-2</v>
      </c>
      <c r="AB26" s="70">
        <f>IF(OR(Y26=0,W26=0),"",Y26/W26-1)</f>
        <v>-1.4786148890479578E-2</v>
      </c>
      <c r="AD26" s="157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24.75" customHeight="1" x14ac:dyDescent="0.25">
      <c r="A27" s="2"/>
      <c r="B27" s="3"/>
      <c r="C27" s="40" t="s">
        <v>4</v>
      </c>
      <c r="D27" s="120" t="s">
        <v>39</v>
      </c>
      <c r="E27" s="2"/>
      <c r="F27" s="148">
        <v>17847</v>
      </c>
      <c r="G27" s="148">
        <v>20000</v>
      </c>
      <c r="H27" s="149">
        <v>21000</v>
      </c>
      <c r="I27" s="124">
        <v>21630</v>
      </c>
      <c r="J27" s="59">
        <f t="shared" si="7"/>
        <v>0.1206365215442371</v>
      </c>
      <c r="K27" s="60">
        <f t="shared" si="7"/>
        <v>5.0000000000000044E-2</v>
      </c>
      <c r="L27" s="61">
        <f t="shared" si="7"/>
        <v>3.0000000000000027E-2</v>
      </c>
      <c r="N27" s="148">
        <v>6000</v>
      </c>
      <c r="O27" s="148">
        <v>6300</v>
      </c>
      <c r="P27" s="149">
        <v>6500</v>
      </c>
      <c r="Q27" s="149">
        <v>6600</v>
      </c>
      <c r="R27" s="59">
        <f t="shared" si="8"/>
        <v>5.0000000000000044E-2</v>
      </c>
      <c r="S27" s="60">
        <f t="shared" si="8"/>
        <v>3.1746031746031855E-2</v>
      </c>
      <c r="T27" s="61">
        <f t="shared" si="8"/>
        <v>1.538461538461533E-2</v>
      </c>
      <c r="V27" s="158">
        <f t="shared" si="9"/>
        <v>23847</v>
      </c>
      <c r="W27" s="158">
        <f t="shared" si="9"/>
        <v>26300</v>
      </c>
      <c r="X27" s="159">
        <f t="shared" si="9"/>
        <v>27500</v>
      </c>
      <c r="Y27" s="94">
        <f t="shared" si="9"/>
        <v>28230</v>
      </c>
      <c r="Z27" s="59">
        <f t="shared" ref="Z27:AB30" si="11">IF(OR(W27=0,V27=0),"",W27/V27-1)</f>
        <v>0.10286409191931889</v>
      </c>
      <c r="AA27" s="60">
        <f t="shared" si="11"/>
        <v>4.5627376425855459E-2</v>
      </c>
      <c r="AB27" s="61">
        <f t="shared" si="11"/>
        <v>2.654545454545465E-2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24.75" customHeight="1" x14ac:dyDescent="0.25">
      <c r="A28" s="2"/>
      <c r="B28" s="3"/>
      <c r="C28" s="40"/>
      <c r="D28" s="120" t="s">
        <v>40</v>
      </c>
      <c r="E28" s="2"/>
      <c r="F28" s="160">
        <v>0</v>
      </c>
      <c r="G28" s="160">
        <v>0</v>
      </c>
      <c r="H28" s="161">
        <v>0</v>
      </c>
      <c r="I28" s="85"/>
      <c r="J28" s="68" t="str">
        <f t="shared" si="7"/>
        <v/>
      </c>
      <c r="K28" s="69" t="str">
        <f t="shared" si="7"/>
        <v/>
      </c>
      <c r="L28" s="70" t="str">
        <f t="shared" si="7"/>
        <v/>
      </c>
      <c r="N28" s="160">
        <v>0</v>
      </c>
      <c r="O28" s="160">
        <v>0</v>
      </c>
      <c r="P28" s="161">
        <v>0</v>
      </c>
      <c r="Q28" s="161">
        <v>0</v>
      </c>
      <c r="R28" s="68" t="str">
        <f t="shared" si="8"/>
        <v/>
      </c>
      <c r="S28" s="69" t="str">
        <f t="shared" si="8"/>
        <v/>
      </c>
      <c r="T28" s="70" t="str">
        <f t="shared" si="8"/>
        <v/>
      </c>
      <c r="V28" s="162">
        <f t="shared" si="9"/>
        <v>0</v>
      </c>
      <c r="W28" s="162">
        <f t="shared" si="9"/>
        <v>0</v>
      </c>
      <c r="X28" s="163">
        <f t="shared" si="9"/>
        <v>0</v>
      </c>
      <c r="Y28" s="97">
        <f t="shared" si="9"/>
        <v>0</v>
      </c>
      <c r="Z28" s="68" t="str">
        <f t="shared" si="11"/>
        <v/>
      </c>
      <c r="AA28" s="69" t="str">
        <f t="shared" si="11"/>
        <v/>
      </c>
      <c r="AB28" s="70" t="str">
        <f t="shared" si="11"/>
        <v/>
      </c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24.75" customHeight="1" x14ac:dyDescent="0.25">
      <c r="A29" s="2"/>
      <c r="B29" s="3"/>
      <c r="C29" s="40" t="s">
        <v>5</v>
      </c>
      <c r="D29" s="120" t="s">
        <v>39</v>
      </c>
      <c r="E29" s="2"/>
      <c r="F29" s="148">
        <v>2532</v>
      </c>
      <c r="G29" s="148">
        <v>3100</v>
      </c>
      <c r="H29" s="149">
        <v>3450</v>
      </c>
      <c r="I29" s="76">
        <v>3930</v>
      </c>
      <c r="J29" s="59">
        <f t="shared" si="7"/>
        <v>0.22432859399684046</v>
      </c>
      <c r="K29" s="60">
        <f t="shared" si="7"/>
        <v>0.11290322580645151</v>
      </c>
      <c r="L29" s="61">
        <f t="shared" si="7"/>
        <v>0.13913043478260878</v>
      </c>
      <c r="N29" s="148">
        <v>30</v>
      </c>
      <c r="O29" s="148">
        <v>40</v>
      </c>
      <c r="P29" s="149">
        <v>45</v>
      </c>
      <c r="Q29" s="149">
        <v>50</v>
      </c>
      <c r="R29" s="59">
        <f t="shared" si="8"/>
        <v>0.33333333333333326</v>
      </c>
      <c r="S29" s="60">
        <f t="shared" si="8"/>
        <v>0.125</v>
      </c>
      <c r="T29" s="61">
        <f t="shared" si="8"/>
        <v>0.11111111111111116</v>
      </c>
      <c r="V29" s="158">
        <f t="shared" si="9"/>
        <v>2562</v>
      </c>
      <c r="W29" s="158">
        <f t="shared" si="9"/>
        <v>3140</v>
      </c>
      <c r="X29" s="159">
        <f t="shared" si="9"/>
        <v>3495</v>
      </c>
      <c r="Y29" s="94">
        <f t="shared" si="9"/>
        <v>3980</v>
      </c>
      <c r="Z29" s="59">
        <f t="shared" si="11"/>
        <v>0.2256049960967994</v>
      </c>
      <c r="AA29" s="60">
        <f t="shared" si="11"/>
        <v>0.11305732484076425</v>
      </c>
      <c r="AB29" s="61">
        <f t="shared" si="11"/>
        <v>0.13876967095851223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24.75" customHeight="1" x14ac:dyDescent="0.25">
      <c r="A30" s="5"/>
      <c r="B30" s="3"/>
      <c r="C30" s="40"/>
      <c r="D30" s="120" t="s">
        <v>40</v>
      </c>
      <c r="E30" s="2"/>
      <c r="F30" s="160">
        <v>2000</v>
      </c>
      <c r="G30" s="160">
        <v>2600</v>
      </c>
      <c r="H30" s="161">
        <v>3000</v>
      </c>
      <c r="I30" s="85">
        <v>3200</v>
      </c>
      <c r="J30" s="68">
        <f t="shared" si="7"/>
        <v>0.30000000000000004</v>
      </c>
      <c r="K30" s="69">
        <f t="shared" si="7"/>
        <v>0.15384615384615374</v>
      </c>
      <c r="L30" s="70">
        <f t="shared" si="7"/>
        <v>6.6666666666666652E-2</v>
      </c>
      <c r="N30" s="160">
        <v>75</v>
      </c>
      <c r="O30" s="160">
        <v>100</v>
      </c>
      <c r="P30" s="161">
        <v>150</v>
      </c>
      <c r="Q30" s="161">
        <v>170</v>
      </c>
      <c r="R30" s="68">
        <f t="shared" si="8"/>
        <v>0.33333333333333326</v>
      </c>
      <c r="S30" s="69">
        <f t="shared" si="8"/>
        <v>0.5</v>
      </c>
      <c r="T30" s="70">
        <f t="shared" si="8"/>
        <v>0.1333333333333333</v>
      </c>
      <c r="V30" s="162">
        <f t="shared" si="9"/>
        <v>2075</v>
      </c>
      <c r="W30" s="162">
        <f t="shared" si="9"/>
        <v>2700</v>
      </c>
      <c r="X30" s="163">
        <f t="shared" si="9"/>
        <v>3150</v>
      </c>
      <c r="Y30" s="97">
        <f t="shared" si="9"/>
        <v>3370</v>
      </c>
      <c r="Z30" s="65">
        <f t="shared" si="11"/>
        <v>0.3012048192771084</v>
      </c>
      <c r="AA30" s="66">
        <f t="shared" si="11"/>
        <v>0.16666666666666674</v>
      </c>
      <c r="AB30" s="67">
        <f t="shared" si="11"/>
        <v>6.9841269841269815E-2</v>
      </c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24.75" customHeight="1" x14ac:dyDescent="0.25">
      <c r="A31" s="37" t="s">
        <v>17</v>
      </c>
      <c r="B31" s="13"/>
      <c r="C31" s="51"/>
      <c r="D31" s="51"/>
      <c r="E31" s="13"/>
      <c r="F31" s="414">
        <f>$F$7</f>
        <v>2015</v>
      </c>
      <c r="G31" s="416">
        <f>+F31+1</f>
        <v>2016</v>
      </c>
      <c r="H31" s="416">
        <f>+G31+1</f>
        <v>2017</v>
      </c>
      <c r="I31" s="418">
        <f>+H31+1</f>
        <v>2018</v>
      </c>
      <c r="J31" s="29"/>
      <c r="K31" s="54" t="s">
        <v>11</v>
      </c>
      <c r="L31" s="30"/>
      <c r="M31" s="14"/>
      <c r="N31" s="414">
        <f>$F$7</f>
        <v>2015</v>
      </c>
      <c r="O31" s="416">
        <f>+N31+1</f>
        <v>2016</v>
      </c>
      <c r="P31" s="416">
        <f>+O31+1</f>
        <v>2017</v>
      </c>
      <c r="Q31" s="418">
        <f>+P31+1</f>
        <v>2018</v>
      </c>
      <c r="R31" s="29"/>
      <c r="S31" s="54" t="s">
        <v>11</v>
      </c>
      <c r="T31" s="30"/>
      <c r="U31" s="14"/>
      <c r="V31" s="414">
        <f>$F$7</f>
        <v>2015</v>
      </c>
      <c r="W31" s="416">
        <f>+V31+1</f>
        <v>2016</v>
      </c>
      <c r="X31" s="416">
        <f>+W31+1</f>
        <v>2017</v>
      </c>
      <c r="Y31" s="418">
        <f>+X31+1</f>
        <v>2018</v>
      </c>
      <c r="Z31" s="29"/>
      <c r="AA31" s="54" t="s">
        <v>11</v>
      </c>
      <c r="AB31" s="3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24.75" customHeight="1" x14ac:dyDescent="0.25">
      <c r="A32" s="12"/>
      <c r="B32" s="13"/>
      <c r="C32" s="51"/>
      <c r="D32" s="51"/>
      <c r="E32" s="13"/>
      <c r="F32" s="415"/>
      <c r="G32" s="417"/>
      <c r="H32" s="417"/>
      <c r="I32" s="419"/>
      <c r="J32" s="31" t="str">
        <f>G31&amp;"/"&amp;RIGHT(F31,2)</f>
        <v>2016/15</v>
      </c>
      <c r="K32" s="32" t="str">
        <f>H31&amp;"/"&amp;RIGHT(G31,2)</f>
        <v>2017/16</v>
      </c>
      <c r="L32" s="33" t="str">
        <f>I31&amp;"/"&amp;RIGHT(H31,2)</f>
        <v>2018/17</v>
      </c>
      <c r="M32" s="14"/>
      <c r="N32" s="415"/>
      <c r="O32" s="417"/>
      <c r="P32" s="417"/>
      <c r="Q32" s="419"/>
      <c r="R32" s="31" t="str">
        <f>O31&amp;"/"&amp;RIGHT(N31,2)</f>
        <v>2016/15</v>
      </c>
      <c r="S32" s="32" t="str">
        <f>P31&amp;"/"&amp;RIGHT(O31,2)</f>
        <v>2017/16</v>
      </c>
      <c r="T32" s="33" t="str">
        <f>Q31&amp;"/"&amp;RIGHT(P31,2)</f>
        <v>2018/17</v>
      </c>
      <c r="U32" s="14"/>
      <c r="V32" s="415"/>
      <c r="W32" s="417"/>
      <c r="X32" s="417"/>
      <c r="Y32" s="419"/>
      <c r="Z32" s="31" t="str">
        <f>W31&amp;"/"&amp;RIGHT(V31,2)</f>
        <v>2016/15</v>
      </c>
      <c r="AA32" s="32" t="str">
        <f>X31&amp;"/"&amp;RIGHT(W31,2)</f>
        <v>2017/16</v>
      </c>
      <c r="AB32" s="33" t="str">
        <f>Y31&amp;"/"&amp;RIGHT(X31,2)</f>
        <v>2018/17</v>
      </c>
      <c r="AC32" s="2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4.75" customHeight="1" x14ac:dyDescent="0.25">
      <c r="A33" s="3"/>
      <c r="B33" s="2"/>
      <c r="C33" s="42" t="s">
        <v>1</v>
      </c>
      <c r="D33" s="42"/>
      <c r="E33" s="2"/>
      <c r="F33" s="156"/>
      <c r="G33" s="156"/>
      <c r="H33" s="157"/>
      <c r="I33" s="79"/>
      <c r="J33" s="62" t="str">
        <f t="shared" ref="J33:L36" si="12">IF(OR(G33=0,F33=0),"",G33/F33-1)</f>
        <v/>
      </c>
      <c r="K33" s="63" t="str">
        <f t="shared" si="12"/>
        <v/>
      </c>
      <c r="L33" s="64" t="str">
        <f t="shared" si="12"/>
        <v/>
      </c>
      <c r="N33" s="77"/>
      <c r="O33" s="78"/>
      <c r="P33" s="78"/>
      <c r="Q33" s="79"/>
      <c r="R33" s="62" t="str">
        <f t="shared" ref="R33:T36" si="13">IF(OR(O33=0,N33=0),"",O33/N33-1)</f>
        <v/>
      </c>
      <c r="S33" s="63" t="str">
        <f t="shared" si="13"/>
        <v/>
      </c>
      <c r="T33" s="64" t="str">
        <f t="shared" si="13"/>
        <v/>
      </c>
      <c r="V33" s="86">
        <f t="shared" ref="V33:Y34" si="14">+F33+N33</f>
        <v>0</v>
      </c>
      <c r="W33" s="87">
        <f t="shared" si="14"/>
        <v>0</v>
      </c>
      <c r="X33" s="87">
        <f t="shared" si="14"/>
        <v>0</v>
      </c>
      <c r="Y33" s="88">
        <f t="shared" si="14"/>
        <v>0</v>
      </c>
      <c r="Z33" s="62" t="str">
        <f t="shared" ref="Z33:AB36" si="15">IF(OR(W33=0,V33=0),"",W33/V33-1)</f>
        <v/>
      </c>
      <c r="AA33" s="63" t="str">
        <f t="shared" si="15"/>
        <v/>
      </c>
      <c r="AB33" s="64" t="str">
        <f t="shared" si="15"/>
        <v/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24.75" customHeight="1" x14ac:dyDescent="0.25">
      <c r="A34" s="3"/>
      <c r="B34" s="2"/>
      <c r="C34" s="43" t="s">
        <v>2</v>
      </c>
      <c r="D34" s="43"/>
      <c r="E34" s="2"/>
      <c r="F34" s="173"/>
      <c r="G34" s="173"/>
      <c r="H34" s="174"/>
      <c r="I34" s="82"/>
      <c r="J34" s="65" t="str">
        <f t="shared" si="12"/>
        <v/>
      </c>
      <c r="K34" s="66" t="str">
        <f t="shared" si="12"/>
        <v/>
      </c>
      <c r="L34" s="67" t="str">
        <f t="shared" si="12"/>
        <v/>
      </c>
      <c r="N34" s="80"/>
      <c r="O34" s="81"/>
      <c r="P34" s="81"/>
      <c r="Q34" s="82"/>
      <c r="R34" s="65" t="str">
        <f t="shared" si="13"/>
        <v/>
      </c>
      <c r="S34" s="66" t="str">
        <f t="shared" si="13"/>
        <v/>
      </c>
      <c r="T34" s="67" t="str">
        <f t="shared" si="13"/>
        <v/>
      </c>
      <c r="V34" s="89">
        <f t="shared" si="14"/>
        <v>0</v>
      </c>
      <c r="W34" s="90">
        <f t="shared" si="14"/>
        <v>0</v>
      </c>
      <c r="X34" s="90">
        <f t="shared" si="14"/>
        <v>0</v>
      </c>
      <c r="Y34" s="91">
        <f t="shared" si="14"/>
        <v>0</v>
      </c>
      <c r="Z34" s="65" t="str">
        <f t="shared" si="15"/>
        <v/>
      </c>
      <c r="AA34" s="66" t="str">
        <f t="shared" si="15"/>
        <v/>
      </c>
      <c r="AB34" s="67" t="str">
        <f t="shared" si="15"/>
        <v/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24.75" customHeight="1" x14ac:dyDescent="0.25">
      <c r="A35" s="3"/>
      <c r="B35" s="2"/>
      <c r="C35" s="44" t="s">
        <v>3</v>
      </c>
      <c r="D35" s="42"/>
      <c r="E35" s="2"/>
      <c r="F35" s="156">
        <v>44213</v>
      </c>
      <c r="G35" s="156">
        <v>47450</v>
      </c>
      <c r="H35" s="157">
        <v>47120</v>
      </c>
      <c r="I35" s="127">
        <v>47300</v>
      </c>
      <c r="J35" s="68">
        <f t="shared" si="12"/>
        <v>7.3213760658629834E-2</v>
      </c>
      <c r="K35" s="69">
        <f t="shared" si="12"/>
        <v>-6.9546891464700167E-3</v>
      </c>
      <c r="L35" s="70">
        <f t="shared" si="12"/>
        <v>3.8200339558573937E-3</v>
      </c>
      <c r="M35" s="7"/>
      <c r="N35" s="156">
        <v>10972</v>
      </c>
      <c r="O35" s="156">
        <v>11560</v>
      </c>
      <c r="P35" s="157">
        <v>11750</v>
      </c>
      <c r="Q35" s="100">
        <v>11750</v>
      </c>
      <c r="R35" s="68">
        <f t="shared" si="13"/>
        <v>5.3590958804228928E-2</v>
      </c>
      <c r="S35" s="69">
        <f t="shared" si="13"/>
        <v>1.6435986159169635E-2</v>
      </c>
      <c r="T35" s="70">
        <f t="shared" si="13"/>
        <v>0</v>
      </c>
      <c r="U35" s="7"/>
      <c r="V35" s="156">
        <f>SUM(F35+N35)</f>
        <v>55185</v>
      </c>
      <c r="W35" s="156">
        <f>SUM(G35+O35)</f>
        <v>59010</v>
      </c>
      <c r="X35" s="157">
        <f>SUM(H35+P35)</f>
        <v>58870</v>
      </c>
      <c r="Y35" s="127">
        <f>SUM(I35+Q35)</f>
        <v>59050</v>
      </c>
      <c r="Z35" s="68">
        <f t="shared" si="15"/>
        <v>6.931231312856756E-2</v>
      </c>
      <c r="AA35" s="69">
        <f t="shared" si="15"/>
        <v>-2.3724792408066353E-3</v>
      </c>
      <c r="AB35" s="70">
        <f t="shared" si="15"/>
        <v>3.0575845082385644E-3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ht="24.75" customHeight="1" x14ac:dyDescent="0.25">
      <c r="A36" s="3"/>
      <c r="C36" s="45" t="s">
        <v>12</v>
      </c>
      <c r="D36" s="52"/>
      <c r="E36" s="11"/>
      <c r="F36" s="173">
        <v>12.98</v>
      </c>
      <c r="G36" s="173">
        <v>13.88</v>
      </c>
      <c r="H36" s="174">
        <v>10.24</v>
      </c>
      <c r="I36" s="85">
        <v>13.66</v>
      </c>
      <c r="J36" s="68">
        <f t="shared" si="12"/>
        <v>6.9337442218798229E-2</v>
      </c>
      <c r="K36" s="69">
        <f t="shared" si="12"/>
        <v>-0.26224783861671475</v>
      </c>
      <c r="L36" s="70">
        <f t="shared" si="12"/>
        <v>0.333984375</v>
      </c>
      <c r="N36" s="173">
        <v>2.57</v>
      </c>
      <c r="O36" s="173">
        <v>2.72</v>
      </c>
      <c r="P36" s="174">
        <v>2.76</v>
      </c>
      <c r="Q36" s="85">
        <v>2.76</v>
      </c>
      <c r="R36" s="68">
        <f t="shared" si="13"/>
        <v>5.836575875486405E-2</v>
      </c>
      <c r="S36" s="69">
        <f t="shared" si="13"/>
        <v>1.4705882352941124E-2</v>
      </c>
      <c r="T36" s="70">
        <f t="shared" si="13"/>
        <v>0</v>
      </c>
      <c r="V36" s="95">
        <f>+F36+N36</f>
        <v>15.55</v>
      </c>
      <c r="W36" s="96">
        <f>+G36+O36</f>
        <v>16.600000000000001</v>
      </c>
      <c r="X36" s="96">
        <f>+H36+P36</f>
        <v>13</v>
      </c>
      <c r="Y36" s="97">
        <v>13</v>
      </c>
      <c r="Z36" s="68">
        <f t="shared" si="15"/>
        <v>6.7524115755627001E-2</v>
      </c>
      <c r="AA36" s="69">
        <f t="shared" si="15"/>
        <v>-0.2168674698795181</v>
      </c>
      <c r="AB36" s="70">
        <f t="shared" si="15"/>
        <v>0</v>
      </c>
      <c r="AC36" s="52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ht="24.75" customHeight="1" x14ac:dyDescent="0.25">
      <c r="A37" s="3"/>
      <c r="B37" s="116"/>
      <c r="C37" s="4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ht="24.75" customHeight="1" x14ac:dyDescent="0.25">
      <c r="A38" s="37" t="s">
        <v>13</v>
      </c>
      <c r="B38" s="13"/>
      <c r="C38" s="53"/>
      <c r="D38" s="111" t="s">
        <v>27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1:39" ht="24.75" customHeight="1" x14ac:dyDescent="0.25">
      <c r="A39" s="18"/>
      <c r="B39" s="18"/>
      <c r="C39" s="18"/>
      <c r="D39" s="39" t="s">
        <v>41</v>
      </c>
      <c r="E39" s="14"/>
      <c r="F39" s="422" t="s">
        <v>21</v>
      </c>
      <c r="G39" s="422"/>
      <c r="H39" s="422"/>
      <c r="I39" s="422"/>
      <c r="J39" s="422"/>
      <c r="K39" s="422"/>
      <c r="L39" s="422"/>
      <c r="M39" s="14"/>
      <c r="N39" s="422" t="s">
        <v>20</v>
      </c>
      <c r="O39" s="422"/>
      <c r="P39" s="422"/>
      <c r="Q39" s="422"/>
      <c r="R39" s="422"/>
      <c r="S39" s="422"/>
      <c r="T39" s="422"/>
      <c r="U39" s="14"/>
      <c r="V39" s="14"/>
      <c r="W39" s="14"/>
      <c r="X39" s="14"/>
      <c r="Y39" s="14"/>
      <c r="Z39" s="14"/>
      <c r="AA39" s="14"/>
      <c r="AB39" s="14"/>
    </row>
    <row r="40" spans="1:39" ht="24.75" customHeight="1" x14ac:dyDescent="0.25">
      <c r="A40" s="19"/>
      <c r="B40" s="20"/>
      <c r="C40" s="20"/>
      <c r="D40" s="21"/>
      <c r="E40" s="49"/>
      <c r="F40" s="414">
        <f>$F$7</f>
        <v>2015</v>
      </c>
      <c r="G40" s="416">
        <f>+F40+1</f>
        <v>2016</v>
      </c>
      <c r="H40" s="416">
        <f>+G40+1</f>
        <v>2017</v>
      </c>
      <c r="I40" s="418">
        <f>+H40+1</f>
        <v>2018</v>
      </c>
      <c r="J40" s="29"/>
      <c r="K40" s="54" t="s">
        <v>11</v>
      </c>
      <c r="L40" s="30"/>
      <c r="N40" s="414">
        <f>$F$7</f>
        <v>2015</v>
      </c>
      <c r="O40" s="416">
        <f>+N40+1</f>
        <v>2016</v>
      </c>
      <c r="P40" s="416">
        <f>+O40+1</f>
        <v>2017</v>
      </c>
      <c r="Q40" s="418">
        <f>+P40+1</f>
        <v>2018</v>
      </c>
      <c r="R40" s="29"/>
      <c r="S40" s="54" t="s">
        <v>11</v>
      </c>
      <c r="T40" s="30"/>
    </row>
    <row r="41" spans="1:39" ht="24.75" customHeight="1" x14ac:dyDescent="0.25">
      <c r="A41" s="19"/>
      <c r="B41" s="20"/>
      <c r="C41" s="46"/>
      <c r="D41" s="21"/>
      <c r="E41" s="49"/>
      <c r="F41" s="415"/>
      <c r="G41" s="417"/>
      <c r="H41" s="417"/>
      <c r="I41" s="419"/>
      <c r="J41" s="31" t="str">
        <f>G40&amp;"/"&amp;RIGHT(F40,2)</f>
        <v>2016/15</v>
      </c>
      <c r="K41" s="32" t="str">
        <f>H40&amp;"/"&amp;RIGHT(G40,2)</f>
        <v>2017/16</v>
      </c>
      <c r="L41" s="33" t="str">
        <f>I40&amp;"/"&amp;RIGHT(H40,2)</f>
        <v>2018/17</v>
      </c>
      <c r="N41" s="415"/>
      <c r="O41" s="417"/>
      <c r="P41" s="417"/>
      <c r="Q41" s="419"/>
      <c r="R41" s="31" t="str">
        <f>O40&amp;"/"&amp;RIGHT(N40,2)</f>
        <v>2016/15</v>
      </c>
      <c r="S41" s="32" t="str">
        <f>P40&amp;"/"&amp;RIGHT(O40,2)</f>
        <v>2017/16</v>
      </c>
      <c r="T41" s="33" t="str">
        <f>Q40&amp;"/"&amp;RIGHT(P40,2)</f>
        <v>2018/17</v>
      </c>
    </row>
    <row r="42" spans="1:39" ht="24.75" customHeight="1" x14ac:dyDescent="0.25">
      <c r="A42" s="49"/>
      <c r="B42" s="49"/>
      <c r="C42" s="46" t="s">
        <v>35</v>
      </c>
      <c r="D42" s="49"/>
      <c r="E42" s="49"/>
      <c r="F42" s="102">
        <v>3.47</v>
      </c>
      <c r="G42" s="102">
        <v>3.5</v>
      </c>
      <c r="H42" s="103">
        <v>3.65</v>
      </c>
      <c r="I42" s="103">
        <v>3.71</v>
      </c>
      <c r="J42" s="62">
        <f t="shared" ref="J42:L44" si="16">IF(OR(G42=0,F42=0),"",G42/F42-1)</f>
        <v>8.6455331412103043E-3</v>
      </c>
      <c r="K42" s="63">
        <f t="shared" si="16"/>
        <v>4.2857142857142927E-2</v>
      </c>
      <c r="L42" s="64">
        <f t="shared" si="16"/>
        <v>1.6438356164383494E-2</v>
      </c>
      <c r="N42" s="101">
        <v>5.2</v>
      </c>
      <c r="O42" s="102">
        <v>5.3</v>
      </c>
      <c r="P42" s="102">
        <v>5.35</v>
      </c>
      <c r="Q42" s="103">
        <v>5.38</v>
      </c>
      <c r="R42" s="62">
        <f t="shared" ref="R42:T44" si="17">IF(OR(O42=0,N42=0),"",O42/N42-1)</f>
        <v>1.9230769230769162E-2</v>
      </c>
      <c r="S42" s="63">
        <f t="shared" si="17"/>
        <v>9.4339622641508303E-3</v>
      </c>
      <c r="T42" s="64">
        <f t="shared" si="17"/>
        <v>5.6074766355140859E-3</v>
      </c>
      <c r="AG42" s="9"/>
      <c r="AJ42" s="2"/>
    </row>
    <row r="43" spans="1:39" ht="24.75" customHeight="1" x14ac:dyDescent="0.25">
      <c r="A43" s="49"/>
      <c r="B43" s="49"/>
      <c r="C43" s="47" t="s">
        <v>36</v>
      </c>
      <c r="D43" s="43"/>
      <c r="E43" s="49"/>
      <c r="F43" s="105">
        <v>3.53</v>
      </c>
      <c r="G43" s="105">
        <v>3.6</v>
      </c>
      <c r="H43" s="106">
        <v>3.7</v>
      </c>
      <c r="I43" s="106">
        <v>3.74</v>
      </c>
      <c r="J43" s="65">
        <f t="shared" si="16"/>
        <v>1.9830028328611915E-2</v>
      </c>
      <c r="K43" s="66">
        <f t="shared" si="16"/>
        <v>2.7777777777777901E-2</v>
      </c>
      <c r="L43" s="67">
        <f t="shared" si="16"/>
        <v>1.0810810810810922E-2</v>
      </c>
      <c r="N43" s="104">
        <v>5.2</v>
      </c>
      <c r="O43" s="105">
        <v>5.3</v>
      </c>
      <c r="P43" s="105">
        <v>5.35</v>
      </c>
      <c r="Q43" s="106">
        <v>5.38</v>
      </c>
      <c r="R43" s="65">
        <f t="shared" si="17"/>
        <v>1.9230769230769162E-2</v>
      </c>
      <c r="S43" s="66">
        <f t="shared" si="17"/>
        <v>9.4339622641508303E-3</v>
      </c>
      <c r="T43" s="67">
        <f t="shared" si="17"/>
        <v>5.6074766355140859E-3</v>
      </c>
      <c r="AJ43" s="6"/>
    </row>
    <row r="44" spans="1:39" ht="24.75" customHeight="1" x14ac:dyDescent="0.25">
      <c r="A44" s="20"/>
      <c r="B44" s="20"/>
      <c r="D44" s="48" t="s">
        <v>37</v>
      </c>
      <c r="E44" s="49"/>
      <c r="F44" s="108">
        <f>(F42+F43)/2</f>
        <v>3.5</v>
      </c>
      <c r="G44" s="108">
        <v>3.47</v>
      </c>
      <c r="H44" s="109">
        <f>(H42+H43)/2</f>
        <v>3.6749999999999998</v>
      </c>
      <c r="I44" s="109">
        <f>(I42+I43)/2</f>
        <v>3.7250000000000001</v>
      </c>
      <c r="J44" s="68">
        <f t="shared" si="16"/>
        <v>-8.5714285714285632E-3</v>
      </c>
      <c r="K44" s="69">
        <f t="shared" si="16"/>
        <v>5.9077809798270708E-2</v>
      </c>
      <c r="L44" s="70">
        <f t="shared" si="16"/>
        <v>1.3605442176870763E-2</v>
      </c>
      <c r="M44" s="7"/>
      <c r="N44" s="107">
        <f>(N42+N43)/2</f>
        <v>5.2</v>
      </c>
      <c r="O44" s="108">
        <f>(O42+O43)/2</f>
        <v>5.3</v>
      </c>
      <c r="P44" s="108">
        <f>(P42+P43)/2</f>
        <v>5.35</v>
      </c>
      <c r="Q44" s="109">
        <f>(Q42+Q43)/2</f>
        <v>5.38</v>
      </c>
      <c r="R44" s="68">
        <f t="shared" si="17"/>
        <v>1.9230769230769162E-2</v>
      </c>
      <c r="S44" s="69">
        <f t="shared" si="17"/>
        <v>9.4339622641508303E-3</v>
      </c>
      <c r="T44" s="70">
        <f t="shared" si="17"/>
        <v>5.6074766355140859E-3</v>
      </c>
      <c r="AJ44" s="6"/>
    </row>
    <row r="45" spans="1:39" ht="24.75" customHeight="1" x14ac:dyDescent="0.25">
      <c r="A45" s="20"/>
      <c r="B45" s="20"/>
      <c r="C45" s="46"/>
      <c r="D45" s="49"/>
      <c r="E45" s="49"/>
      <c r="F45" s="422" t="s">
        <v>19</v>
      </c>
      <c r="G45" s="422"/>
      <c r="H45" s="422"/>
      <c r="I45" s="422"/>
      <c r="J45" s="422"/>
      <c r="K45" s="422"/>
      <c r="L45" s="422"/>
      <c r="M45" s="7"/>
      <c r="N45" s="422" t="s">
        <v>22</v>
      </c>
      <c r="O45" s="422"/>
      <c r="P45" s="422"/>
      <c r="Q45" s="422"/>
      <c r="R45" s="422"/>
      <c r="S45" s="422"/>
      <c r="T45" s="422"/>
      <c r="AJ45" s="6"/>
    </row>
    <row r="46" spans="1:39" ht="24.75" customHeight="1" x14ac:dyDescent="0.25">
      <c r="A46" s="20"/>
      <c r="B46" s="20"/>
      <c r="C46" s="46"/>
      <c r="D46" s="49"/>
      <c r="E46" s="49"/>
      <c r="F46" s="414">
        <f>$F$7</f>
        <v>2015</v>
      </c>
      <c r="G46" s="416">
        <f>+F46+1</f>
        <v>2016</v>
      </c>
      <c r="H46" s="416">
        <f>+G46+1</f>
        <v>2017</v>
      </c>
      <c r="I46" s="418">
        <f>+H46+1</f>
        <v>2018</v>
      </c>
      <c r="J46" s="29"/>
      <c r="K46" s="54" t="s">
        <v>11</v>
      </c>
      <c r="L46" s="30"/>
      <c r="M46" s="7"/>
      <c r="N46" s="414">
        <f>$F$7</f>
        <v>2015</v>
      </c>
      <c r="O46" s="416">
        <f>+N46+1</f>
        <v>2016</v>
      </c>
      <c r="P46" s="416">
        <f>+O46+1</f>
        <v>2017</v>
      </c>
      <c r="Q46" s="418">
        <f>+P46+1</f>
        <v>2018</v>
      </c>
      <c r="R46" s="29"/>
      <c r="S46" s="54" t="s">
        <v>11</v>
      </c>
      <c r="T46" s="30"/>
      <c r="AJ46" s="6"/>
    </row>
    <row r="47" spans="1:39" ht="24.75" customHeight="1" x14ac:dyDescent="0.25">
      <c r="A47" s="20"/>
      <c r="B47" s="20"/>
      <c r="C47" s="49"/>
      <c r="D47" s="20"/>
      <c r="E47" s="49"/>
      <c r="F47" s="415"/>
      <c r="G47" s="417"/>
      <c r="H47" s="417"/>
      <c r="I47" s="419"/>
      <c r="J47" s="31" t="str">
        <f>G46&amp;"/"&amp;RIGHT(F46,2)</f>
        <v>2016/15</v>
      </c>
      <c r="K47" s="32" t="str">
        <f>H46&amp;"/"&amp;RIGHT(G46,2)</f>
        <v>2017/16</v>
      </c>
      <c r="L47" s="33" t="str">
        <f>I46&amp;"/"&amp;RIGHT(H46,2)</f>
        <v>2018/17</v>
      </c>
      <c r="N47" s="415"/>
      <c r="O47" s="417"/>
      <c r="P47" s="417"/>
      <c r="Q47" s="419"/>
      <c r="R47" s="31" t="str">
        <f>O46&amp;"/"&amp;RIGHT(N46,2)</f>
        <v>2016/15</v>
      </c>
      <c r="S47" s="32" t="str">
        <f>P46&amp;"/"&amp;RIGHT(O46,2)</f>
        <v>2017/16</v>
      </c>
      <c r="T47" s="33" t="str">
        <f>Q46&amp;"/"&amp;RIGHT(P46,2)</f>
        <v>2018/17</v>
      </c>
      <c r="AJ47" s="6"/>
    </row>
    <row r="48" spans="1:39" ht="24.75" customHeight="1" x14ac:dyDescent="0.25">
      <c r="A48" s="49"/>
      <c r="B48" s="22"/>
      <c r="C48" s="46" t="s">
        <v>35</v>
      </c>
      <c r="D48" s="49"/>
      <c r="E48" s="49"/>
      <c r="F48" s="101">
        <v>1.95</v>
      </c>
      <c r="G48" s="102">
        <v>2</v>
      </c>
      <c r="H48" s="102">
        <v>2.1</v>
      </c>
      <c r="I48" s="103">
        <v>2.11</v>
      </c>
      <c r="J48" s="62">
        <f t="shared" ref="J48:L50" si="18">IF(OR(G48=0,F48=0),"",G48/F48-1)</f>
        <v>2.5641025641025772E-2</v>
      </c>
      <c r="K48" s="63">
        <f t="shared" si="18"/>
        <v>5.0000000000000044E-2</v>
      </c>
      <c r="L48" s="64">
        <f t="shared" si="18"/>
        <v>4.761904761904745E-3</v>
      </c>
      <c r="N48" s="102">
        <v>3.2</v>
      </c>
      <c r="O48" s="102">
        <v>3.25</v>
      </c>
      <c r="P48" s="103">
        <v>3.3</v>
      </c>
      <c r="Q48" s="103">
        <v>3.32</v>
      </c>
      <c r="R48" s="62">
        <f t="shared" ref="R48:T50" si="19">IF(OR(O48=0,N48=0),"",O48/N48-1)</f>
        <v>1.5625E-2</v>
      </c>
      <c r="S48" s="63">
        <f t="shared" si="19"/>
        <v>1.538461538461533E-2</v>
      </c>
      <c r="T48" s="64">
        <f t="shared" si="19"/>
        <v>6.0606060606060996E-3</v>
      </c>
      <c r="AF48" s="8"/>
      <c r="AJ48" s="2"/>
    </row>
    <row r="49" spans="1:36" ht="24.75" customHeight="1" x14ac:dyDescent="0.25">
      <c r="A49" s="20"/>
      <c r="B49" s="20"/>
      <c r="C49" s="47" t="s">
        <v>36</v>
      </c>
      <c r="D49" s="43"/>
      <c r="E49" s="49"/>
      <c r="F49" s="104">
        <v>1.95</v>
      </c>
      <c r="G49" s="105">
        <v>2</v>
      </c>
      <c r="H49" s="105">
        <v>2.1</v>
      </c>
      <c r="I49" s="106">
        <v>2.11</v>
      </c>
      <c r="J49" s="65">
        <f t="shared" si="18"/>
        <v>2.5641025641025772E-2</v>
      </c>
      <c r="K49" s="66">
        <f t="shared" si="18"/>
        <v>5.0000000000000044E-2</v>
      </c>
      <c r="L49" s="67">
        <f t="shared" si="18"/>
        <v>4.761904761904745E-3</v>
      </c>
      <c r="N49" s="105">
        <v>3.3</v>
      </c>
      <c r="O49" s="105">
        <v>3.25</v>
      </c>
      <c r="P49" s="106">
        <v>3.3</v>
      </c>
      <c r="Q49" s="106">
        <v>3.33</v>
      </c>
      <c r="R49" s="65">
        <f t="shared" si="19"/>
        <v>-1.5151515151515138E-2</v>
      </c>
      <c r="S49" s="66">
        <f t="shared" si="19"/>
        <v>1.538461538461533E-2</v>
      </c>
      <c r="T49" s="67">
        <f t="shared" si="19"/>
        <v>9.0909090909092605E-3</v>
      </c>
      <c r="AH49" s="2"/>
      <c r="AJ49" s="2"/>
    </row>
    <row r="50" spans="1:36" ht="24.75" customHeight="1" x14ac:dyDescent="0.25">
      <c r="A50" s="20"/>
      <c r="B50" s="20"/>
      <c r="D50" s="48" t="s">
        <v>37</v>
      </c>
      <c r="E50" s="49"/>
      <c r="F50" s="107">
        <v>1.95</v>
      </c>
      <c r="G50" s="108">
        <v>2</v>
      </c>
      <c r="H50" s="108">
        <v>2.1</v>
      </c>
      <c r="I50" s="109">
        <f>(I48+I49)/2</f>
        <v>2.11</v>
      </c>
      <c r="J50" s="68">
        <f t="shared" si="18"/>
        <v>2.5641025641025772E-2</v>
      </c>
      <c r="K50" s="69">
        <f t="shared" si="18"/>
        <v>5.0000000000000044E-2</v>
      </c>
      <c r="L50" s="70">
        <f t="shared" si="18"/>
        <v>4.761904761904745E-3</v>
      </c>
      <c r="M50" s="7"/>
      <c r="N50" s="107">
        <f>(N48+N49)/2</f>
        <v>3.25</v>
      </c>
      <c r="O50" s="108">
        <f>(O48+O49)/2</f>
        <v>3.25</v>
      </c>
      <c r="P50" s="108">
        <f>(P48+P49)/2</f>
        <v>3.3</v>
      </c>
      <c r="Q50" s="109">
        <f>(Q48+Q49)/2</f>
        <v>3.3250000000000002</v>
      </c>
      <c r="R50" s="68">
        <f t="shared" si="19"/>
        <v>0</v>
      </c>
      <c r="S50" s="69">
        <f t="shared" si="19"/>
        <v>1.538461538461533E-2</v>
      </c>
      <c r="T50" s="70">
        <f t="shared" si="19"/>
        <v>7.5757575757577911E-3</v>
      </c>
      <c r="AH50" s="2"/>
      <c r="AJ50" s="1"/>
    </row>
    <row r="51" spans="1:36" ht="24.75" customHeight="1" x14ac:dyDescent="0.25">
      <c r="A51" s="49"/>
      <c r="B51" s="49"/>
      <c r="C51" s="49"/>
      <c r="D51" s="49"/>
      <c r="E51" s="49"/>
      <c r="AC51" s="42"/>
      <c r="AH51" s="42"/>
      <c r="AI51" s="42"/>
      <c r="AJ51" s="42"/>
    </row>
    <row r="52" spans="1:36" ht="24.75" customHeight="1" x14ac:dyDescent="0.25">
      <c r="A52" s="23"/>
      <c r="B52" s="49"/>
      <c r="C52" s="49"/>
      <c r="D52" s="49"/>
      <c r="E52" s="49"/>
      <c r="V52" s="123"/>
      <c r="W52" s="123"/>
      <c r="X52" s="123"/>
      <c r="Y52" s="123"/>
      <c r="Z52" s="17"/>
      <c r="AA52" s="17"/>
      <c r="AB52" s="17"/>
    </row>
    <row r="53" spans="1:36" ht="24.75" customHeight="1" x14ac:dyDescent="0.25">
      <c r="A53" s="8"/>
      <c r="V53" s="123"/>
      <c r="W53" s="123"/>
      <c r="X53" s="123"/>
      <c r="Y53" s="123"/>
      <c r="Z53" s="17"/>
      <c r="AA53" s="17"/>
      <c r="AB53" s="17"/>
    </row>
    <row r="54" spans="1:36" ht="24.75" customHeight="1" x14ac:dyDescent="0.25">
      <c r="A54" s="8"/>
      <c r="U54" s="7"/>
      <c r="V54" s="123"/>
      <c r="W54" s="123"/>
      <c r="X54" s="123"/>
      <c r="Y54" s="123"/>
      <c r="Z54" s="17"/>
      <c r="AA54" s="17"/>
      <c r="AB54" s="17"/>
    </row>
    <row r="55" spans="1:36" ht="24.75" customHeight="1" x14ac:dyDescent="0.25">
      <c r="A55" s="8"/>
      <c r="U55" s="123"/>
      <c r="V55" s="123"/>
      <c r="W55" s="123"/>
      <c r="X55" s="123"/>
      <c r="Y55" s="123"/>
      <c r="Z55" s="17"/>
      <c r="AA55" s="17"/>
      <c r="AB55" s="17"/>
    </row>
    <row r="56" spans="1:36" ht="24.75" customHeight="1" x14ac:dyDescent="0.25">
      <c r="A56" s="4"/>
      <c r="U56" s="7"/>
      <c r="V56" s="123"/>
      <c r="W56" s="123"/>
      <c r="X56" s="123"/>
      <c r="Y56" s="123"/>
      <c r="Z56" s="17"/>
      <c r="AA56" s="17"/>
      <c r="AB56" s="17"/>
    </row>
    <row r="57" spans="1:36" ht="17.25" customHeight="1" x14ac:dyDescent="0.25">
      <c r="A57" s="2"/>
      <c r="B57" s="2"/>
      <c r="C57" s="2"/>
      <c r="D57" s="2"/>
      <c r="E57" s="2"/>
      <c r="V57" s="123"/>
      <c r="W57" s="123"/>
      <c r="X57" s="123"/>
      <c r="Y57" s="123"/>
      <c r="Z57" s="17"/>
      <c r="AA57" s="17"/>
      <c r="AB57" s="17"/>
    </row>
    <row r="58" spans="1:36" ht="17.25" customHeight="1" x14ac:dyDescent="0.25">
      <c r="A58" s="42"/>
      <c r="B58" s="2"/>
      <c r="C58" s="2"/>
      <c r="D58" s="42"/>
      <c r="E58" s="42"/>
    </row>
  </sheetData>
  <mergeCells count="76">
    <mergeCell ref="F45:L45"/>
    <mergeCell ref="N45:T45"/>
    <mergeCell ref="F46:F47"/>
    <mergeCell ref="G46:G47"/>
    <mergeCell ref="H46:H47"/>
    <mergeCell ref="I46:I47"/>
    <mergeCell ref="N46:N47"/>
    <mergeCell ref="O46:O47"/>
    <mergeCell ref="P46:P47"/>
    <mergeCell ref="Q46:Q47"/>
    <mergeCell ref="Y31:Y32"/>
    <mergeCell ref="F39:L39"/>
    <mergeCell ref="N39:T39"/>
    <mergeCell ref="F40:F41"/>
    <mergeCell ref="G40:G41"/>
    <mergeCell ref="H40:H41"/>
    <mergeCell ref="I40:I41"/>
    <mergeCell ref="N40:N41"/>
    <mergeCell ref="W31:W32"/>
    <mergeCell ref="X31:X32"/>
    <mergeCell ref="O40:O41"/>
    <mergeCell ref="P40:P41"/>
    <mergeCell ref="Q40:Q41"/>
    <mergeCell ref="Y22:Y23"/>
    <mergeCell ref="F31:F32"/>
    <mergeCell ref="G31:G32"/>
    <mergeCell ref="H31:H32"/>
    <mergeCell ref="I31:I32"/>
    <mergeCell ref="N31:N32"/>
    <mergeCell ref="O31:O32"/>
    <mergeCell ref="P31:P32"/>
    <mergeCell ref="Q31:Q32"/>
    <mergeCell ref="V31:V32"/>
    <mergeCell ref="O22:O23"/>
    <mergeCell ref="P22:P23"/>
    <mergeCell ref="Q22:Q23"/>
    <mergeCell ref="V22:V23"/>
    <mergeCell ref="W22:W23"/>
    <mergeCell ref="X22:X23"/>
    <mergeCell ref="Q13:Q14"/>
    <mergeCell ref="V13:V14"/>
    <mergeCell ref="W13:W14"/>
    <mergeCell ref="X13:X14"/>
    <mergeCell ref="Y13:Y14"/>
    <mergeCell ref="O13:O14"/>
    <mergeCell ref="P13:P14"/>
    <mergeCell ref="F22:F23"/>
    <mergeCell ref="G22:G23"/>
    <mergeCell ref="H22:H23"/>
    <mergeCell ref="I22:I23"/>
    <mergeCell ref="N22:N23"/>
    <mergeCell ref="F13:F14"/>
    <mergeCell ref="G13:G14"/>
    <mergeCell ref="H13:H14"/>
    <mergeCell ref="I13:I14"/>
    <mergeCell ref="N13:N14"/>
    <mergeCell ref="V6:AB6"/>
    <mergeCell ref="F7:F8"/>
    <mergeCell ref="G7:G8"/>
    <mergeCell ref="H7:H8"/>
    <mergeCell ref="I7:I8"/>
    <mergeCell ref="N7:N8"/>
    <mergeCell ref="O7:O8"/>
    <mergeCell ref="P7:P8"/>
    <mergeCell ref="Q7:Q8"/>
    <mergeCell ref="V7:V8"/>
    <mergeCell ref="F6:L6"/>
    <mergeCell ref="N6:T6"/>
    <mergeCell ref="W7:W8"/>
    <mergeCell ref="X7:X8"/>
    <mergeCell ref="Y7:Y8"/>
    <mergeCell ref="D1:U1"/>
    <mergeCell ref="A3:B3"/>
    <mergeCell ref="C3:D3"/>
    <mergeCell ref="A5:B5"/>
    <mergeCell ref="C5:D5"/>
  </mergeCells>
  <conditionalFormatting sqref="F50:M50 U56 U54 I44:T44 I17:U17 I26 V33:AB33 V36:Y36 I35:M35 V34:Y34 Y30 Y29:AB29 Y18:Y21 V15:Y16 M26:Q26 Q35:U35 Y17:AB17 Z35:AB35 V27:X30 Y27:Y28 V24:Y24 V25:X25 U26:Y26">
    <cfRule type="cellIs" dxfId="69" priority="14" stopIfTrue="1" operator="equal">
      <formula>0</formula>
    </cfRule>
  </conditionalFormatting>
  <conditionalFormatting sqref="N50:T50">
    <cfRule type="cellIs" dxfId="68" priority="13" stopIfTrue="1" operator="equal">
      <formula>0</formula>
    </cfRule>
  </conditionalFormatting>
  <conditionalFormatting sqref="I12">
    <cfRule type="cellIs" dxfId="67" priority="12" stopIfTrue="1" operator="equal">
      <formula>0</formula>
    </cfRule>
  </conditionalFormatting>
  <conditionalFormatting sqref="F12:H12">
    <cfRule type="cellIs" dxfId="66" priority="11" stopIfTrue="1" operator="equal">
      <formula>0</formula>
    </cfRule>
  </conditionalFormatting>
  <conditionalFormatting sqref="F17:H17">
    <cfRule type="cellIs" dxfId="65" priority="10" stopIfTrue="1" operator="equal">
      <formula>0</formula>
    </cfRule>
  </conditionalFormatting>
  <conditionalFormatting sqref="F26:H26">
    <cfRule type="cellIs" dxfId="64" priority="9" stopIfTrue="1" operator="equal">
      <formula>0</formula>
    </cfRule>
  </conditionalFormatting>
  <conditionalFormatting sqref="F33:H33">
    <cfRule type="cellIs" dxfId="63" priority="8" stopIfTrue="1" operator="equal">
      <formula>0</formula>
    </cfRule>
  </conditionalFormatting>
  <conditionalFormatting sqref="F35:H35">
    <cfRule type="cellIs" dxfId="62" priority="7" stopIfTrue="1" operator="equal">
      <formula>0</formula>
    </cfRule>
  </conditionalFormatting>
  <conditionalFormatting sqref="F44:H44">
    <cfRule type="cellIs" dxfId="61" priority="6" stopIfTrue="1" operator="equal">
      <formula>0</formula>
    </cfRule>
  </conditionalFormatting>
  <conditionalFormatting sqref="N35:P35">
    <cfRule type="cellIs" dxfId="60" priority="5" stopIfTrue="1" operator="equal">
      <formula>0</formula>
    </cfRule>
  </conditionalFormatting>
  <conditionalFormatting sqref="V17:X21">
    <cfRule type="cellIs" dxfId="59" priority="4" stopIfTrue="1" operator="equal">
      <formula>0</formula>
    </cfRule>
  </conditionalFormatting>
  <conditionalFormatting sqref="AD26">
    <cfRule type="cellIs" dxfId="58" priority="1" stopIfTrue="1" operator="equal">
      <formula>0</formula>
    </cfRule>
  </conditionalFormatting>
  <conditionalFormatting sqref="Y35">
    <cfRule type="cellIs" dxfId="57" priority="3" stopIfTrue="1" operator="equal">
      <formula>0</formula>
    </cfRule>
  </conditionalFormatting>
  <conditionalFormatting sqref="V35:X35">
    <cfRule type="cellIs" dxfId="56" priority="2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39370078740157483" footer="0.39370078740157483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17</vt:i4>
      </vt:variant>
    </vt:vector>
  </HeadingPairs>
  <TitlesOfParts>
    <vt:vector size="36" baseType="lpstr">
      <vt:lpstr>BE</vt:lpstr>
      <vt:lpstr>BG</vt:lpstr>
      <vt:lpstr>CZ</vt:lpstr>
      <vt:lpstr>DK</vt:lpstr>
      <vt:lpstr>DE</vt:lpstr>
      <vt:lpstr>IE</vt:lpstr>
      <vt:lpstr>ES</vt:lpstr>
      <vt:lpstr>FR</vt:lpstr>
      <vt:lpstr>HR</vt:lpstr>
      <vt:lpstr>IT</vt:lpstr>
      <vt:lpstr>HU</vt:lpstr>
      <vt:lpstr>AT</vt:lpstr>
      <vt:lpstr>PL</vt:lpstr>
      <vt:lpstr>PT</vt:lpstr>
      <vt:lpstr>SI</vt:lpstr>
      <vt:lpstr>FI</vt:lpstr>
      <vt:lpstr>SE</vt:lpstr>
      <vt:lpstr>UK</vt:lpstr>
      <vt:lpstr>Sheet1</vt:lpstr>
      <vt:lpstr>AT!Print_Area</vt:lpstr>
      <vt:lpstr>BE!Print_Area</vt:lpstr>
      <vt:lpstr>BG!Print_Area</vt:lpstr>
      <vt:lpstr>CZ!Print_Area</vt:lpstr>
      <vt:lpstr>DE!Print_Area</vt:lpstr>
      <vt:lpstr>DK!Print_Area</vt:lpstr>
      <vt:lpstr>ES!Print_Area</vt:lpstr>
      <vt:lpstr>FI!Print_Area</vt:lpstr>
      <vt:lpstr>FR!Print_Area</vt:lpstr>
      <vt:lpstr>HR!Print_Area</vt:lpstr>
      <vt:lpstr>HU!Print_Area</vt:lpstr>
      <vt:lpstr>IE!Print_Area</vt:lpstr>
      <vt:lpstr>PL!Print_Area</vt:lpstr>
      <vt:lpstr>PT!Print_Area</vt:lpstr>
      <vt:lpstr>SE!Print_Area</vt:lpstr>
      <vt:lpstr>SI!Print_Area</vt:lpstr>
      <vt:lpstr>UK!Print_Area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FORECAST QUESTIONNAIRE</dc:title>
  <dc:creator>Mary</dc:creator>
  <cp:lastModifiedBy>KRIKELAS-PASSARIS Alexandros (AGRI)</cp:lastModifiedBy>
  <cp:lastPrinted>2017-10-13T07:55:24Z</cp:lastPrinted>
  <dcterms:created xsi:type="dcterms:W3CDTF">2001-03-28T08:36:59Z</dcterms:created>
  <dcterms:modified xsi:type="dcterms:W3CDTF">2017-10-19T14:26:11Z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